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8_{937BAFB2-A98C-4277-BF90-3AE2E2937B18}" xr6:coauthVersionLast="47" xr6:coauthVersionMax="47" xr10:uidLastSave="{00000000-0000-0000-0000-000000000000}"/>
  <bookViews>
    <workbookView xWindow="-108" yWindow="-108" windowWidth="23256" windowHeight="12576" tabRatio="900" firstSheet="2" activeTab="32" xr2:uid="{00000000-000D-0000-FFFF-FFFF00000000}"/>
  </bookViews>
  <sheets>
    <sheet name="2022年09月-2023年汇总" sheetId="13" state="hidden" r:id="rId1"/>
    <sheet name="2024汇总" sheetId="23" state="hidden" r:id="rId2"/>
    <sheet name="2025汇总" sheetId="32" r:id="rId3"/>
    <sheet name="1月" sheetId="2" state="hidden" r:id="rId4"/>
    <sheet name="2月 " sheetId="5" state="hidden" r:id="rId5"/>
    <sheet name="3.1-3.20" sheetId="6" state="hidden" r:id="rId6"/>
    <sheet name="3.20-4.20" sheetId="7" state="hidden" r:id="rId7"/>
    <sheet name="4.20-5.20" sheetId="8" state="hidden" r:id="rId8"/>
    <sheet name="5.20-6.20" sheetId="9" state="hidden" r:id="rId9"/>
    <sheet name="6.20-7.20" sheetId="12" state="hidden" r:id="rId10"/>
    <sheet name="7.20-8.20" sheetId="10" state="hidden" r:id="rId11"/>
    <sheet name="8.20-9.20" sheetId="11" state="hidden" r:id="rId12"/>
    <sheet name="9.20-10.20" sheetId="14" state="hidden" r:id="rId13"/>
    <sheet name="10.20-11.20" sheetId="15" state="hidden" r:id="rId14"/>
    <sheet name="11.20-12.20" sheetId="16" state="hidden" r:id="rId15"/>
    <sheet name="2024.12.20-1.20" sheetId="18" state="hidden" r:id="rId16"/>
    <sheet name="2024.1.20-2.20" sheetId="19" state="hidden" r:id="rId17"/>
    <sheet name="2024.2.20-3.20" sheetId="20" state="hidden" r:id="rId18"/>
    <sheet name="2024.3.20-4.20" sheetId="21" state="hidden" r:id="rId19"/>
    <sheet name="2024.4.20-5.20" sheetId="22" state="hidden" r:id="rId20"/>
    <sheet name="2024.6.3-6.28" sheetId="24" state="hidden" r:id="rId21"/>
    <sheet name="2024.7.1-7.31" sheetId="25" state="hidden" r:id="rId22"/>
    <sheet name="2024.8.1-8.30" sheetId="26" state="hidden" r:id="rId23"/>
    <sheet name="2024.9.1-9.30" sheetId="27" state="hidden" r:id="rId24"/>
    <sheet name="2024.10.1-10.31" sheetId="28" state="hidden" r:id="rId25"/>
    <sheet name="2024.11.1-11.29" sheetId="29" state="hidden" r:id="rId26"/>
    <sheet name="2024.12.1-12.31" sheetId="30" state="hidden" r:id="rId27"/>
    <sheet name="2025.1.1-2025.1.27" sheetId="31" r:id="rId28"/>
    <sheet name="2025.2.5-2.28" sheetId="33" r:id="rId29"/>
    <sheet name="2025.3.3-3.31" sheetId="34" r:id="rId30"/>
    <sheet name="2025.4.1-4.30" sheetId="35" r:id="rId31"/>
    <sheet name="2025.5.1-5.31" sheetId="36" r:id="rId32"/>
    <sheet name="2025.6.3-6.27" sheetId="37" r:id="rId33"/>
  </sheets>
  <externalReferences>
    <externalReference r:id="rId34"/>
    <externalReference r:id="rId35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" i="37" l="1"/>
  <c r="E9" i="37"/>
  <c r="D9" i="37"/>
  <c r="C9" i="37"/>
  <c r="F8" i="37"/>
  <c r="E8" i="37"/>
  <c r="D8" i="37"/>
  <c r="C8" i="37"/>
  <c r="F7" i="37"/>
  <c r="E7" i="37"/>
  <c r="D7" i="37"/>
  <c r="C7" i="37"/>
  <c r="F6" i="37"/>
  <c r="E6" i="37"/>
  <c r="D6" i="37"/>
  <c r="C6" i="37"/>
  <c r="F5" i="37"/>
  <c r="E5" i="37"/>
  <c r="D5" i="37"/>
  <c r="C5" i="37"/>
  <c r="F4" i="37"/>
  <c r="E4" i="37"/>
  <c r="D4" i="37"/>
  <c r="C4" i="37"/>
  <c r="F3" i="37"/>
  <c r="E3" i="37"/>
  <c r="E10" i="37" s="1"/>
  <c r="D3" i="37"/>
  <c r="D10" i="37" s="1"/>
  <c r="C3" i="37"/>
  <c r="C10" i="37" s="1"/>
  <c r="F9" i="36"/>
  <c r="E9" i="36"/>
  <c r="D9" i="36"/>
  <c r="C9" i="36"/>
  <c r="F7" i="36"/>
  <c r="E7" i="36"/>
  <c r="D7" i="36"/>
  <c r="C7" i="36"/>
  <c r="F9" i="35"/>
  <c r="E9" i="35"/>
  <c r="D9" i="35"/>
  <c r="C9" i="35"/>
  <c r="C8" i="35"/>
  <c r="F7" i="35"/>
  <c r="E7" i="35"/>
  <c r="D7" i="35"/>
  <c r="C7" i="35"/>
  <c r="F9" i="34"/>
  <c r="E9" i="34"/>
  <c r="D9" i="34"/>
  <c r="C9" i="34"/>
  <c r="C8" i="34"/>
  <c r="F7" i="34"/>
  <c r="E7" i="34"/>
  <c r="D7" i="34"/>
  <c r="C7" i="34"/>
  <c r="E6" i="34"/>
  <c r="D6" i="34"/>
  <c r="C6" i="34"/>
  <c r="F3" i="34"/>
  <c r="E3" i="34"/>
  <c r="D3" i="34"/>
  <c r="C3" i="34"/>
  <c r="F9" i="33"/>
  <c r="E9" i="33"/>
  <c r="D9" i="33"/>
  <c r="C9" i="33"/>
  <c r="C8" i="33"/>
  <c r="E7" i="33"/>
  <c r="D7" i="33"/>
  <c r="C7" i="33"/>
  <c r="E3" i="33"/>
  <c r="D3" i="33"/>
  <c r="C3" i="33"/>
  <c r="F9" i="31"/>
  <c r="E9" i="31"/>
  <c r="D9" i="31"/>
  <c r="C9" i="31"/>
  <c r="C8" i="31"/>
  <c r="F7" i="31"/>
  <c r="E7" i="31"/>
  <c r="D7" i="31"/>
  <c r="C7" i="31"/>
  <c r="F9" i="30"/>
  <c r="E9" i="30"/>
  <c r="D9" i="30"/>
  <c r="C9" i="30"/>
  <c r="C8" i="30"/>
  <c r="E7" i="30"/>
  <c r="D7" i="30"/>
  <c r="C7" i="30"/>
  <c r="F9" i="29"/>
  <c r="E9" i="29"/>
  <c r="D9" i="29"/>
  <c r="C9" i="29"/>
  <c r="F7" i="29"/>
  <c r="E7" i="29"/>
  <c r="D7" i="29"/>
  <c r="C7" i="29"/>
  <c r="E3" i="29"/>
  <c r="D3" i="29"/>
  <c r="C3" i="29"/>
  <c r="F9" i="28"/>
  <c r="E9" i="28"/>
  <c r="D9" i="28"/>
  <c r="C9" i="28"/>
  <c r="C8" i="28"/>
  <c r="F7" i="28"/>
  <c r="E7" i="28"/>
  <c r="D7" i="28"/>
  <c r="C7" i="28"/>
  <c r="E3" i="28"/>
  <c r="D3" i="28"/>
  <c r="C3" i="28"/>
  <c r="F9" i="27"/>
  <c r="E9" i="27"/>
  <c r="D9" i="27"/>
  <c r="C9" i="27"/>
  <c r="C7" i="27"/>
  <c r="C5" i="27"/>
  <c r="E3" i="27"/>
  <c r="D3" i="27"/>
  <c r="C3" i="27"/>
  <c r="F9" i="26"/>
  <c r="E9" i="26"/>
  <c r="D9" i="26"/>
  <c r="C9" i="26"/>
  <c r="C8" i="26"/>
  <c r="E7" i="26"/>
  <c r="D7" i="26"/>
  <c r="C7" i="26"/>
  <c r="C6" i="26"/>
  <c r="F3" i="26"/>
  <c r="E3" i="26"/>
  <c r="D3" i="26"/>
  <c r="C3" i="26"/>
  <c r="F9" i="25"/>
  <c r="E9" i="25"/>
  <c r="D9" i="25"/>
  <c r="C9" i="25"/>
  <c r="C8" i="25"/>
  <c r="F7" i="25"/>
  <c r="E7" i="25"/>
  <c r="D7" i="25"/>
  <c r="C7" i="25"/>
  <c r="E3" i="25"/>
  <c r="D3" i="25"/>
  <c r="C3" i="25"/>
  <c r="F9" i="24"/>
  <c r="E9" i="24"/>
  <c r="D9" i="24"/>
  <c r="C9" i="24"/>
  <c r="E7" i="24"/>
  <c r="D7" i="24"/>
  <c r="C7" i="24"/>
  <c r="F9" i="22"/>
  <c r="E9" i="22"/>
  <c r="D9" i="22"/>
  <c r="C9" i="22"/>
  <c r="C8" i="22"/>
  <c r="F7" i="22"/>
  <c r="E7" i="22"/>
  <c r="D7" i="22"/>
  <c r="C7" i="22"/>
  <c r="E4" i="22"/>
  <c r="D4" i="22"/>
  <c r="C4" i="22"/>
  <c r="F9" i="21"/>
  <c r="E9" i="21"/>
  <c r="D9" i="21"/>
  <c r="C9" i="21"/>
  <c r="C8" i="21"/>
  <c r="F7" i="21"/>
  <c r="E7" i="21"/>
  <c r="D7" i="21"/>
  <c r="C7" i="21"/>
  <c r="F5" i="21"/>
  <c r="E5" i="21"/>
  <c r="D5" i="21"/>
  <c r="C5" i="21"/>
  <c r="F4" i="21"/>
  <c r="E4" i="21"/>
  <c r="D4" i="21"/>
  <c r="C4" i="21"/>
  <c r="F3" i="21"/>
  <c r="E3" i="21"/>
  <c r="D3" i="21"/>
  <c r="C3" i="21"/>
  <c r="F9" i="20"/>
  <c r="E9" i="20"/>
  <c r="D9" i="20"/>
  <c r="C9" i="20"/>
  <c r="F8" i="20"/>
  <c r="F7" i="20"/>
  <c r="E7" i="20"/>
  <c r="D7" i="20"/>
  <c r="C7" i="20"/>
  <c r="F5" i="20"/>
  <c r="E5" i="20"/>
  <c r="D5" i="20"/>
  <c r="C5" i="20"/>
  <c r="E4" i="20"/>
  <c r="D4" i="20"/>
  <c r="C4" i="20"/>
  <c r="F3" i="20"/>
  <c r="E3" i="20"/>
  <c r="D3" i="20"/>
  <c r="C3" i="20"/>
  <c r="F9" i="19"/>
  <c r="E9" i="19"/>
  <c r="D9" i="19"/>
  <c r="C9" i="19"/>
  <c r="E8" i="19"/>
  <c r="C8" i="19"/>
  <c r="F5" i="19"/>
  <c r="E5" i="19"/>
  <c r="D5" i="19"/>
  <c r="C5" i="19"/>
  <c r="F4" i="19"/>
  <c r="E4" i="19"/>
  <c r="D4" i="19"/>
  <c r="C4" i="19"/>
  <c r="F3" i="19"/>
  <c r="E3" i="19"/>
  <c r="D3" i="19"/>
  <c r="C3" i="19"/>
  <c r="F9" i="18"/>
  <c r="E9" i="18"/>
  <c r="D9" i="18"/>
  <c r="C9" i="18"/>
  <c r="F8" i="18"/>
  <c r="C8" i="18"/>
  <c r="E7" i="18"/>
  <c r="D7" i="18"/>
  <c r="C7" i="18"/>
  <c r="F5" i="18"/>
  <c r="E5" i="18"/>
  <c r="D5" i="18"/>
  <c r="C5" i="18"/>
  <c r="E4" i="18"/>
  <c r="D4" i="18"/>
  <c r="C4" i="18"/>
  <c r="E3" i="18"/>
  <c r="D3" i="18"/>
  <c r="C3" i="18"/>
  <c r="F9" i="16"/>
  <c r="E9" i="16"/>
  <c r="D9" i="16"/>
  <c r="C9" i="16"/>
  <c r="F8" i="16"/>
  <c r="C8" i="16"/>
  <c r="F7" i="16"/>
  <c r="E7" i="16"/>
  <c r="D7" i="16"/>
  <c r="C7" i="16"/>
  <c r="F9" i="15"/>
  <c r="E9" i="15"/>
  <c r="D9" i="15"/>
  <c r="C9" i="15"/>
  <c r="F8" i="15"/>
  <c r="F5" i="15"/>
  <c r="E5" i="15"/>
  <c r="D5" i="15"/>
  <c r="C5" i="15"/>
  <c r="F4" i="15"/>
  <c r="E4" i="15"/>
  <c r="D4" i="15"/>
  <c r="C4" i="15"/>
  <c r="F3" i="15"/>
  <c r="E3" i="15"/>
  <c r="D3" i="15"/>
  <c r="C3" i="15"/>
  <c r="F9" i="14"/>
  <c r="E9" i="14"/>
  <c r="D9" i="14"/>
  <c r="C9" i="14"/>
  <c r="F8" i="14"/>
  <c r="C8" i="14"/>
  <c r="F10" i="11"/>
  <c r="E10" i="11"/>
  <c r="D10" i="11"/>
  <c r="C10" i="11"/>
  <c r="E9" i="11"/>
  <c r="F6" i="11"/>
  <c r="E6" i="11"/>
  <c r="D6" i="11"/>
  <c r="C6" i="11"/>
  <c r="E5" i="11"/>
  <c r="D5" i="11"/>
  <c r="C5" i="11"/>
  <c r="F9" i="10"/>
  <c r="E9" i="10"/>
  <c r="D9" i="10"/>
  <c r="C9" i="10"/>
  <c r="C5" i="10"/>
  <c r="E4" i="10"/>
  <c r="D4" i="10"/>
  <c r="C4" i="10"/>
  <c r="F3" i="10"/>
  <c r="E3" i="10"/>
  <c r="D3" i="10"/>
  <c r="C3" i="10"/>
  <c r="F10" i="12"/>
  <c r="E10" i="12"/>
  <c r="D10" i="12"/>
  <c r="C10" i="12"/>
  <c r="F6" i="12"/>
  <c r="E6" i="12"/>
  <c r="D6" i="12"/>
  <c r="C6" i="12"/>
  <c r="E5" i="12"/>
  <c r="D5" i="12"/>
  <c r="C5" i="12"/>
  <c r="F4" i="12"/>
  <c r="E4" i="12"/>
  <c r="D4" i="12"/>
  <c r="C4" i="12"/>
  <c r="F9" i="9"/>
  <c r="E9" i="9"/>
  <c r="D9" i="9"/>
  <c r="C9" i="9"/>
  <c r="F8" i="9"/>
  <c r="C8" i="9"/>
  <c r="F9" i="8"/>
  <c r="E9" i="8"/>
  <c r="D9" i="8"/>
  <c r="C9" i="8"/>
  <c r="F8" i="8"/>
  <c r="C8" i="8"/>
  <c r="F9" i="7"/>
  <c r="E9" i="7"/>
  <c r="D9" i="7"/>
  <c r="C9" i="7"/>
  <c r="C8" i="7"/>
  <c r="E7" i="7"/>
  <c r="D7" i="7"/>
  <c r="C7" i="7"/>
  <c r="F9" i="6"/>
  <c r="E9" i="6"/>
  <c r="D9" i="6"/>
  <c r="C9" i="6"/>
  <c r="F9" i="5"/>
  <c r="E9" i="5"/>
  <c r="D9" i="5"/>
  <c r="C9" i="5"/>
  <c r="F9" i="2"/>
  <c r="E9" i="2"/>
  <c r="D9" i="2"/>
  <c r="C9" i="2"/>
  <c r="C8" i="2"/>
  <c r="E7" i="32"/>
  <c r="D7" i="32"/>
  <c r="C7" i="32"/>
  <c r="B7" i="32"/>
  <c r="E6" i="32"/>
  <c r="D6" i="32"/>
  <c r="C6" i="32"/>
  <c r="B6" i="32"/>
  <c r="E5" i="32"/>
  <c r="D5" i="32"/>
  <c r="C5" i="32"/>
  <c r="B5" i="32"/>
  <c r="E4" i="32"/>
  <c r="D4" i="32"/>
  <c r="C4" i="32"/>
  <c r="B4" i="32"/>
  <c r="B3" i="32" a="1"/>
  <c r="B3" i="32" s="1"/>
  <c r="B15" i="32" s="1"/>
  <c r="E15" i="23"/>
  <c r="D15" i="23"/>
  <c r="C15" i="23"/>
  <c r="B15" i="23"/>
  <c r="B9" i="23" a="1"/>
  <c r="B9" i="23"/>
  <c r="E8" i="23"/>
  <c r="D8" i="23"/>
  <c r="C8" i="23"/>
  <c r="B8" i="23"/>
  <c r="F14" i="13"/>
  <c r="E14" i="13"/>
  <c r="D14" i="13"/>
  <c r="C14" i="13"/>
  <c r="F13" i="13"/>
  <c r="E13" i="13"/>
  <c r="D13" i="13"/>
  <c r="C13" i="13"/>
  <c r="F12" i="13"/>
  <c r="E12" i="13"/>
  <c r="D12" i="13"/>
  <c r="C12" i="13"/>
  <c r="F11" i="13"/>
  <c r="E11" i="13"/>
  <c r="D11" i="13"/>
  <c r="C11" i="13"/>
  <c r="F10" i="13"/>
  <c r="E10" i="13"/>
  <c r="D10" i="13"/>
  <c r="C10" i="13"/>
  <c r="F9" i="13"/>
  <c r="E9" i="13"/>
  <c r="D9" i="13"/>
  <c r="C9" i="13"/>
  <c r="F8" i="13"/>
  <c r="E8" i="13"/>
  <c r="D8" i="13"/>
  <c r="C8" i="13"/>
  <c r="F7" i="13"/>
  <c r="E7" i="13"/>
  <c r="D7" i="13"/>
  <c r="C7" i="13"/>
  <c r="F6" i="13"/>
  <c r="E6" i="13"/>
  <c r="D6" i="13"/>
  <c r="C6" i="13"/>
  <c r="F5" i="13"/>
  <c r="E5" i="13"/>
  <c r="D5" i="13"/>
  <c r="C5" i="13"/>
  <c r="F4" i="13"/>
  <c r="E4" i="13"/>
  <c r="D4" i="13"/>
  <c r="C4" i="13"/>
  <c r="F3" i="13"/>
  <c r="E3" i="13"/>
  <c r="D3" i="13"/>
  <c r="C3" i="13"/>
  <c r="F10" i="37" l="1"/>
  <c r="C15" i="32"/>
  <c r="D15" i="32"/>
  <c r="E15" i="3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<sst xmlns="http://schemas.openxmlformats.org/spreadsheetml/2006/main" count="655" uniqueCount="67">
  <si>
    <t>序号</t>
  </si>
  <si>
    <t>月份</t>
  </si>
  <si>
    <t>办件总数</t>
  </si>
  <si>
    <t>现场咨询人次</t>
  </si>
  <si>
    <t>电话咨询人次</t>
  </si>
  <si>
    <t>线上咨询人次</t>
  </si>
  <si>
    <t>13401</t>
  </si>
  <si>
    <t>19323</t>
  </si>
  <si>
    <t>2024年汇总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</si>
  <si>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</si>
  <si>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</si>
  <si>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</si>
  <si>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</si>
  <si>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</si>
  <si>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</si>
  <si>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</si>
  <si>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</si>
  <si>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</si>
  <si>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</si>
  <si>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</si>
  <si>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</si>
  <si>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汇总</t>
  </si>
  <si>
    <t>2025年汇总</t>
  </si>
  <si>
    <t>/</t>
  </si>
  <si>
    <t>市政务服务大厅各服务区办件数据统计表（1月）</t>
  </si>
  <si>
    <t>业务审批单位/区域</t>
  </si>
  <si>
    <t>民生服务区</t>
  </si>
  <si>
    <t>市场准入服务区</t>
  </si>
  <si>
    <t>项目建设服务区</t>
  </si>
  <si>
    <t>不动产登记服务区</t>
  </si>
  <si>
    <t>税务服务区</t>
  </si>
  <si>
    <t>公安业务服务区</t>
  </si>
  <si>
    <t>合计</t>
  </si>
  <si>
    <t>注：办件总数包含统一受理、国垂、省垂、自建平台办件数</t>
  </si>
  <si>
    <t>市政务服务大厅各服务区办件数据统计表（2月）</t>
  </si>
  <si>
    <t>市政务服务大厅各服务区办件数据统计表（3.1-3.20）</t>
  </si>
  <si>
    <t>市政务服务大厅各服务区办件数据统计表（3.20-4.20月）</t>
  </si>
  <si>
    <t>市政务服务大厅各服务区办件数据统计表（4.20-5.20月）</t>
  </si>
  <si>
    <t>市政务服务大厅各服务区办件数据统计表（5.20-6.20月）</t>
  </si>
  <si>
    <t>市政务服务大厅各服务区办件数据统计表（6.20-7.20日）</t>
  </si>
  <si>
    <t>列1</t>
  </si>
  <si>
    <t>列2</t>
  </si>
  <si>
    <t>列3</t>
  </si>
  <si>
    <t>列4</t>
  </si>
  <si>
    <t>市政务服务大厅各服务区办件数据统计表（7.20-8.20日）</t>
  </si>
  <si>
    <t>市政务服务大厅各服务区办件数据统计表（8.20-9.20日）</t>
  </si>
  <si>
    <t>市政务服务大厅各服务区办件数据统计表（9.20-10.20）</t>
  </si>
  <si>
    <t>市政务服务大厅各服务区办件数据统计表（10.20-11.20）</t>
  </si>
  <si>
    <t>市政务服务大厅各服务区办件数据统计表（11.20-12.20）</t>
  </si>
  <si>
    <t>市政务服务大厅各服务区办件数据统计表（12.20-1.20）</t>
  </si>
  <si>
    <t>市政务服务大厅各服务区办件数据统计表（1.20-2.20）</t>
  </si>
  <si>
    <t>市政务服务大厅各服务区办件数据统计表（2.20-3.20）</t>
  </si>
  <si>
    <t>市政务服务大厅各服务区办件数据统计表（2024.3.20-4.20）</t>
  </si>
  <si>
    <t>市政务服务大厅各服务区办件数据统计表（2024.4.20-5.20）</t>
  </si>
  <si>
    <t>市政务服务大厅各服务区办件数据统计表（2024.6.3-6.28）</t>
  </si>
  <si>
    <t>市政务服务大厅各服务区办件数据统计表（2024.7.1-7.31）</t>
  </si>
  <si>
    <t>市政务服务大厅各服务区办件数据统计表（2024.8.1-8.30）</t>
  </si>
  <si>
    <t>市政务服务大厅各服务区办件数据统计表（2024.9.1-9.30）</t>
  </si>
  <si>
    <t>市政务服务大厅各服务区办件数据统计表（2024.10.1-10.31）</t>
  </si>
  <si>
    <t>市政务服务大厅各服务区办件数据统计表（2024.11.1-11.29）</t>
  </si>
  <si>
    <t>市政务服务大厅各服务区办件数据统计表（2025.1.1-1.27）</t>
  </si>
  <si>
    <t>市政务服务大厅各服务区办件数据统计表（2025.2.5-2.28）</t>
  </si>
  <si>
    <t>市政务服务大厅各服务区办件数据统计表（2025.3.3-3.31）</t>
  </si>
  <si>
    <t>市政务服务大厅各服务区办件数据统计表（2025.4.1-4.30）</t>
  </si>
  <si>
    <t>市政务服务大厅各服务区办件数据统计表（2025.5.1-5.31）</t>
  </si>
  <si>
    <t>市政务服务大厅各服务区办件数据统计表（2025.6.3-6.27）</t>
  </si>
  <si>
    <t>便民服务区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</si>
</sst>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8" formatCode="0_ "/>
  </numFmts>
  <fonts count="12" x14ac:knownFonts="1">
    <font>
      <sz val="11"/>
      <color theme="1"/>
      <name val="宋体"/>
      <charset val="134"/>
      <scheme val="minor"/>
    </font>
    <font>
      <b/>
      <sz val="16"/>
      <color theme="1"/>
      <name val="黑体"/>
      <family val="3"/>
      <charset val="134"/>
    </font>
    <font>
      <sz val="12"/>
      <color theme="1"/>
      <name val="黑体"/>
      <family val="3"/>
      <charset val="134"/>
    </font>
    <font>
      <sz val="11"/>
      <color theme="1"/>
      <name val="黑体"/>
      <family val="3"/>
      <charset val="134"/>
    </font>
    <font>
      <sz val="12"/>
      <name val="仿宋"/>
      <family val="3"/>
      <charset val="134"/>
    </font>
    <font>
      <sz val="12"/>
      <color theme="1"/>
      <name val="仿宋"/>
      <family val="3"/>
      <charset val="134"/>
    </font>
    <font>
      <sz val="12"/>
      <name val="宋体"/>
      <family val="3"/>
      <charset val="134"/>
    </font>
    <font>
      <b/>
      <sz val="12"/>
      <name val="仿宋"/>
      <family val="3"/>
      <charset val="134"/>
    </font>
    <font>
      <b/>
      <sz val="12"/>
      <name val="宋体"/>
      <family val="3"/>
      <charset val="134"/>
    </font>
    <font>
      <sz val="20"/>
      <color theme="1"/>
      <name val="黑体"/>
      <family val="3"/>
      <charset val="134"/>
    </font>
    <font>
      <sz val="11"/>
      <color theme="1"/>
      <name val="仿宋"/>
      <family val="3"/>
      <charset val="134"/>
    </font>
    <font>
      <sz val="9"/>
      <name val="宋体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8" fontId="4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178" fontId="4" fillId="3" borderId="1" xfId="0" applyNumberFormat="1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178" fontId="4" fillId="4" borderId="1" xfId="0" applyNumberFormat="1" applyFont="1" applyFill="1" applyBorder="1" applyAlignment="1">
      <alignment horizontal="center" vertical="center" wrapText="1"/>
    </xf>
    <xf numFmtId="178" fontId="4" fillId="4" borderId="2" xfId="0" applyNumberFormat="1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178" fontId="7" fillId="3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0" fillId="0" borderId="0" xfId="0" applyAlignment="1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eetMetadata" Target="metadata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2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xx/Desktop/&#27969;&#37327;&#34920;&#22791;&#20221;/2023&#24180;&#22823;&#21381;&#20107;&#39033;&#26376;&#27719;&#24635;&#34920;/2023&#24180;&#22823;&#21381;&#20107;&#39033;&#27969;&#37327;&#21608;&#27719;&#24635;&#34920;&#65288;&#27599;&#21608;&#20116;&#65289;(3)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&#26032;&#24314;&#25991;&#20214;&#22841;%20(2)\WeChat%20Files\wxid_s3189t5rpntq21\FileStorage\File\2025-07\&#22823;&#21381;&#21150;&#29702;&#20107;&#39033;&#21608;&#27969;&#37327;&#34920;&#65288;2025.7&#65289;.xlsx" TargetMode="External"/><Relationship Id="rId1" Type="http://schemas.openxmlformats.org/officeDocument/2006/relationships/externalLinkPath" Target="file:///D:\&#26032;&#24314;&#25991;&#20214;&#22841;%20(2)\WeChat%20Files\wxid_s3189t5rpntq21\FileStorage\File\2025-07\&#22823;&#21381;&#21150;&#29702;&#20107;&#39033;&#21608;&#27969;&#37327;&#34920;&#65288;2025.7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3-1.6"/>
      <sheetName val="1.9-1.13"/>
      <sheetName val="1.28-2.3 "/>
      <sheetName val="2.6-2.10"/>
      <sheetName val="2.13-2.17 (2)"/>
      <sheetName val="4.3-4.7"/>
      <sheetName val="4.10-4.14"/>
      <sheetName val="4.17-4.21"/>
      <sheetName val="4.24-4.28"/>
      <sheetName val="总4.20-5.20"/>
      <sheetName val="5.4-5.6"/>
      <sheetName val="5.8-5.12"/>
      <sheetName val="5.15-5.19"/>
      <sheetName val="5.22-5.26"/>
      <sheetName val="5.29-5.31"/>
      <sheetName val="5月流量汇总"/>
      <sheetName val="5.29-6.2"/>
      <sheetName val="6.5-6.9 "/>
      <sheetName val="6.12-6.16"/>
      <sheetName val="5.20-6.20"/>
      <sheetName val="6.25-6.30"/>
      <sheetName val="7.3-7.7"/>
      <sheetName val="7.10-7.14"/>
      <sheetName val="7.17-7.21"/>
      <sheetName val="7.24-7.28"/>
      <sheetName val="7.31-8.4"/>
      <sheetName val="8.7-8.11"/>
      <sheetName val="8.14-8.1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>
        <row r="64">
          <cell r="G64">
            <v>146</v>
          </cell>
          <cell r="H64">
            <v>0</v>
          </cell>
        </row>
        <row r="243">
          <cell r="G243">
            <v>277</v>
          </cell>
          <cell r="H243">
            <v>33</v>
          </cell>
        </row>
        <row r="265">
          <cell r="E265">
            <v>184</v>
          </cell>
          <cell r="F265">
            <v>121</v>
          </cell>
          <cell r="G265">
            <v>100</v>
          </cell>
        </row>
      </sheetData>
      <sheetData sheetId="25" refreshError="1">
        <row r="64">
          <cell r="G64">
            <v>49</v>
          </cell>
          <cell r="H64">
            <v>0</v>
          </cell>
        </row>
        <row r="243">
          <cell r="G243">
            <v>274</v>
          </cell>
          <cell r="H243">
            <v>29</v>
          </cell>
        </row>
        <row r="265">
          <cell r="E265">
            <v>370</v>
          </cell>
          <cell r="F265">
            <v>109</v>
          </cell>
          <cell r="G265">
            <v>89</v>
          </cell>
        </row>
      </sheetData>
      <sheetData sheetId="26" refreshError="1">
        <row r="64">
          <cell r="G64">
            <v>118</v>
          </cell>
          <cell r="H64">
            <v>0</v>
          </cell>
        </row>
        <row r="243">
          <cell r="G243">
            <v>285</v>
          </cell>
          <cell r="H243">
            <v>37</v>
          </cell>
        </row>
        <row r="265">
          <cell r="E265">
            <v>335</v>
          </cell>
          <cell r="F265">
            <v>65</v>
          </cell>
          <cell r="G265">
            <v>94</v>
          </cell>
        </row>
      </sheetData>
      <sheetData sheetId="27" refreshError="1">
        <row r="65">
          <cell r="G65">
            <v>135</v>
          </cell>
          <cell r="H65">
            <v>0</v>
          </cell>
        </row>
        <row r="244">
          <cell r="G244">
            <v>309</v>
          </cell>
          <cell r="H244">
            <v>33</v>
          </cell>
        </row>
        <row r="266">
          <cell r="E266">
            <v>108</v>
          </cell>
          <cell r="F266">
            <v>44</v>
          </cell>
          <cell r="G266">
            <v>92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汇总"/>
      <sheetName val="2025.6.3-6.6"/>
      <sheetName val="2025.6.9-6.13"/>
      <sheetName val="2025.6.16-6.20"/>
      <sheetName val="2025.6.23-6.27"/>
      <sheetName val="2025.6.30-7.4"/>
    </sheetNames>
    <sheetDataSet>
      <sheetData sheetId="0"/>
      <sheetData sheetId="1">
        <row r="3">
          <cell r="C3">
            <v>0</v>
          </cell>
          <cell r="D3">
            <v>1728</v>
          </cell>
          <cell r="E3">
            <v>195</v>
          </cell>
          <cell r="F3">
            <v>6</v>
          </cell>
        </row>
        <row r="4">
          <cell r="C4">
            <v>512</v>
          </cell>
          <cell r="D4">
            <v>382</v>
          </cell>
          <cell r="E4">
            <v>148</v>
          </cell>
          <cell r="F4">
            <v>0</v>
          </cell>
        </row>
        <row r="5">
          <cell r="C5">
            <v>236</v>
          </cell>
          <cell r="D5">
            <v>39</v>
          </cell>
          <cell r="E5">
            <v>34</v>
          </cell>
          <cell r="F5">
            <v>0</v>
          </cell>
        </row>
        <row r="6">
          <cell r="C6">
            <v>48</v>
          </cell>
          <cell r="D6">
            <v>42</v>
          </cell>
          <cell r="E6">
            <v>16</v>
          </cell>
          <cell r="F6">
            <v>5</v>
          </cell>
        </row>
        <row r="7">
          <cell r="C7">
            <v>483</v>
          </cell>
          <cell r="D7">
            <v>591</v>
          </cell>
          <cell r="E7">
            <v>112</v>
          </cell>
          <cell r="F7">
            <v>0</v>
          </cell>
        </row>
        <row r="8">
          <cell r="C8">
            <v>2871</v>
          </cell>
          <cell r="D8">
            <v>1236</v>
          </cell>
          <cell r="E8">
            <v>585</v>
          </cell>
          <cell r="F8">
            <v>761</v>
          </cell>
        </row>
        <row r="9">
          <cell r="C9">
            <v>287</v>
          </cell>
          <cell r="D9">
            <v>41</v>
          </cell>
          <cell r="E9">
            <v>22</v>
          </cell>
          <cell r="F9">
            <v>0</v>
          </cell>
        </row>
        <row r="10">
          <cell r="C10">
            <v>463</v>
          </cell>
          <cell r="D10">
            <v>254</v>
          </cell>
          <cell r="E10">
            <v>87</v>
          </cell>
          <cell r="F10">
            <v>0</v>
          </cell>
        </row>
        <row r="11">
          <cell r="C11">
            <v>297</v>
          </cell>
          <cell r="D11">
            <v>0</v>
          </cell>
          <cell r="E11">
            <v>0</v>
          </cell>
          <cell r="F11">
            <v>0</v>
          </cell>
        </row>
        <row r="12">
          <cell r="C12">
            <v>43</v>
          </cell>
          <cell r="D12">
            <v>0</v>
          </cell>
          <cell r="E12">
            <v>0</v>
          </cell>
          <cell r="F12">
            <v>0</v>
          </cell>
        </row>
        <row r="13">
          <cell r="C13">
            <v>492</v>
          </cell>
          <cell r="D13">
            <v>0</v>
          </cell>
          <cell r="E13">
            <v>59</v>
          </cell>
          <cell r="F13">
            <v>0</v>
          </cell>
        </row>
        <row r="14">
          <cell r="C14">
            <v>0</v>
          </cell>
          <cell r="D14">
            <v>5</v>
          </cell>
          <cell r="E14">
            <v>69</v>
          </cell>
          <cell r="F14">
            <v>162</v>
          </cell>
        </row>
        <row r="15">
          <cell r="C15">
            <v>746</v>
          </cell>
          <cell r="D15">
            <v>47</v>
          </cell>
          <cell r="E15">
            <v>0</v>
          </cell>
          <cell r="F15">
            <v>0</v>
          </cell>
        </row>
        <row r="16">
          <cell r="C16">
            <v>105</v>
          </cell>
          <cell r="D16">
            <v>38</v>
          </cell>
          <cell r="E16">
            <v>0</v>
          </cell>
          <cell r="F16">
            <v>0</v>
          </cell>
        </row>
        <row r="17">
          <cell r="C17">
            <v>31</v>
          </cell>
          <cell r="D17">
            <v>26</v>
          </cell>
          <cell r="E17">
            <v>14</v>
          </cell>
          <cell r="F17">
            <v>0</v>
          </cell>
        </row>
        <row r="18">
          <cell r="C18">
            <v>11</v>
          </cell>
          <cell r="D18">
            <v>25</v>
          </cell>
          <cell r="E18">
            <v>8</v>
          </cell>
          <cell r="F18">
            <v>16</v>
          </cell>
        </row>
        <row r="19">
          <cell r="C19">
            <v>38</v>
          </cell>
          <cell r="D19">
            <v>24</v>
          </cell>
          <cell r="E19">
            <v>12</v>
          </cell>
          <cell r="F19">
            <v>8</v>
          </cell>
        </row>
      </sheetData>
      <sheetData sheetId="2">
        <row r="3">
          <cell r="C3">
            <v>0</v>
          </cell>
          <cell r="D3">
            <v>2312</v>
          </cell>
          <cell r="E3">
            <v>231</v>
          </cell>
          <cell r="F3">
            <v>9</v>
          </cell>
        </row>
        <row r="4">
          <cell r="C4">
            <v>578</v>
          </cell>
          <cell r="D4">
            <v>399</v>
          </cell>
          <cell r="E4">
            <v>158</v>
          </cell>
          <cell r="F4">
            <v>0</v>
          </cell>
        </row>
        <row r="5">
          <cell r="C5">
            <v>277</v>
          </cell>
          <cell r="D5">
            <v>44</v>
          </cell>
          <cell r="E5">
            <v>42</v>
          </cell>
          <cell r="F5">
            <v>0</v>
          </cell>
        </row>
        <row r="6">
          <cell r="C6">
            <v>71</v>
          </cell>
          <cell r="D6">
            <v>42</v>
          </cell>
          <cell r="E6">
            <v>16</v>
          </cell>
          <cell r="F6">
            <v>5</v>
          </cell>
        </row>
        <row r="7">
          <cell r="C7">
            <v>536</v>
          </cell>
          <cell r="D7">
            <v>628</v>
          </cell>
          <cell r="E7">
            <v>135</v>
          </cell>
          <cell r="F7">
            <v>0</v>
          </cell>
        </row>
        <row r="8">
          <cell r="C8">
            <v>3481</v>
          </cell>
          <cell r="D8">
            <v>1302</v>
          </cell>
          <cell r="E8">
            <v>650</v>
          </cell>
          <cell r="F8">
            <v>811</v>
          </cell>
        </row>
        <row r="9">
          <cell r="C9">
            <v>331</v>
          </cell>
          <cell r="D9">
            <v>43</v>
          </cell>
          <cell r="E9">
            <v>26</v>
          </cell>
          <cell r="F9">
            <v>0</v>
          </cell>
        </row>
        <row r="10">
          <cell r="C10">
            <v>540</v>
          </cell>
          <cell r="D10">
            <v>300</v>
          </cell>
          <cell r="E10">
            <v>102</v>
          </cell>
          <cell r="F10">
            <v>0</v>
          </cell>
        </row>
        <row r="11">
          <cell r="C11">
            <v>323</v>
          </cell>
          <cell r="D11">
            <v>0</v>
          </cell>
          <cell r="E11">
            <v>0</v>
          </cell>
          <cell r="F11">
            <v>0</v>
          </cell>
        </row>
        <row r="12">
          <cell r="C12">
            <v>58</v>
          </cell>
          <cell r="D12">
            <v>0</v>
          </cell>
          <cell r="E12">
            <v>0</v>
          </cell>
          <cell r="F12">
            <v>0</v>
          </cell>
        </row>
        <row r="13">
          <cell r="C13">
            <v>532</v>
          </cell>
          <cell r="D13">
            <v>0</v>
          </cell>
          <cell r="E13">
            <v>73</v>
          </cell>
          <cell r="F13">
            <v>0</v>
          </cell>
        </row>
        <row r="14">
          <cell r="C14">
            <v>0</v>
          </cell>
          <cell r="D14">
            <v>5</v>
          </cell>
          <cell r="E14">
            <v>72</v>
          </cell>
          <cell r="F14">
            <v>187</v>
          </cell>
        </row>
        <row r="15">
          <cell r="C15">
            <v>706</v>
          </cell>
          <cell r="D15">
            <v>56</v>
          </cell>
          <cell r="E15">
            <v>0</v>
          </cell>
          <cell r="F15">
            <v>0</v>
          </cell>
        </row>
        <row r="16">
          <cell r="C16">
            <v>118</v>
          </cell>
          <cell r="D16">
            <v>38</v>
          </cell>
          <cell r="E16">
            <v>0</v>
          </cell>
          <cell r="F16">
            <v>0</v>
          </cell>
        </row>
        <row r="17">
          <cell r="C17">
            <v>39</v>
          </cell>
          <cell r="D17">
            <v>30</v>
          </cell>
          <cell r="E17">
            <v>19</v>
          </cell>
          <cell r="F17">
            <v>0</v>
          </cell>
        </row>
        <row r="18">
          <cell r="C18">
            <v>18</v>
          </cell>
          <cell r="D18">
            <v>20</v>
          </cell>
          <cell r="E18">
            <v>10</v>
          </cell>
          <cell r="F18">
            <v>20</v>
          </cell>
        </row>
        <row r="19">
          <cell r="C19">
            <v>45</v>
          </cell>
          <cell r="D19">
            <v>20</v>
          </cell>
          <cell r="E19">
            <v>15</v>
          </cell>
          <cell r="F19">
            <v>10</v>
          </cell>
        </row>
      </sheetData>
      <sheetData sheetId="3">
        <row r="3">
          <cell r="C3">
            <v>0</v>
          </cell>
          <cell r="D3">
            <v>2387</v>
          </cell>
          <cell r="E3">
            <v>248</v>
          </cell>
          <cell r="F3">
            <v>17</v>
          </cell>
        </row>
        <row r="4">
          <cell r="C4">
            <v>563</v>
          </cell>
          <cell r="D4">
            <v>178</v>
          </cell>
          <cell r="E4">
            <v>53</v>
          </cell>
          <cell r="F4">
            <v>0</v>
          </cell>
        </row>
        <row r="5">
          <cell r="C5">
            <v>522</v>
          </cell>
          <cell r="D5">
            <v>81</v>
          </cell>
          <cell r="E5">
            <v>47</v>
          </cell>
          <cell r="F5">
            <v>0</v>
          </cell>
        </row>
        <row r="6">
          <cell r="C6">
            <v>656</v>
          </cell>
          <cell r="D6">
            <v>637</v>
          </cell>
          <cell r="E6">
            <v>15</v>
          </cell>
          <cell r="F6">
            <v>6</v>
          </cell>
        </row>
        <row r="7">
          <cell r="C7">
            <v>427</v>
          </cell>
          <cell r="D7">
            <v>564</v>
          </cell>
          <cell r="E7">
            <v>111</v>
          </cell>
          <cell r="F7">
            <v>0</v>
          </cell>
        </row>
        <row r="8">
          <cell r="C8">
            <v>3891</v>
          </cell>
          <cell r="D8">
            <v>1476</v>
          </cell>
          <cell r="E8">
            <v>673</v>
          </cell>
          <cell r="F8">
            <v>858</v>
          </cell>
        </row>
        <row r="9">
          <cell r="C9">
            <v>204</v>
          </cell>
          <cell r="D9">
            <v>37</v>
          </cell>
          <cell r="E9">
            <v>24</v>
          </cell>
          <cell r="F9">
            <v>0</v>
          </cell>
        </row>
        <row r="10">
          <cell r="C10">
            <v>534</v>
          </cell>
          <cell r="D10">
            <v>369</v>
          </cell>
          <cell r="E10">
            <v>107</v>
          </cell>
          <cell r="F10">
            <v>0</v>
          </cell>
        </row>
        <row r="11">
          <cell r="C11">
            <v>317</v>
          </cell>
          <cell r="D11">
            <v>0</v>
          </cell>
          <cell r="E11">
            <v>0</v>
          </cell>
          <cell r="F11">
            <v>0</v>
          </cell>
        </row>
        <row r="12">
          <cell r="C12">
            <v>63</v>
          </cell>
          <cell r="D12">
            <v>0</v>
          </cell>
          <cell r="E12">
            <v>0</v>
          </cell>
          <cell r="F12">
            <v>0</v>
          </cell>
        </row>
        <row r="13">
          <cell r="C13">
            <v>408</v>
          </cell>
          <cell r="D13">
            <v>6</v>
          </cell>
          <cell r="E13">
            <v>98</v>
          </cell>
          <cell r="F13">
            <v>0</v>
          </cell>
        </row>
        <row r="14">
          <cell r="C14">
            <v>0</v>
          </cell>
          <cell r="D14">
            <v>6</v>
          </cell>
          <cell r="E14">
            <v>83</v>
          </cell>
          <cell r="F14">
            <v>207</v>
          </cell>
        </row>
        <row r="15">
          <cell r="C15">
            <v>653</v>
          </cell>
          <cell r="D15">
            <v>26</v>
          </cell>
          <cell r="E15">
            <v>0</v>
          </cell>
          <cell r="F15">
            <v>0</v>
          </cell>
        </row>
        <row r="16">
          <cell r="C16">
            <v>117</v>
          </cell>
          <cell r="D16">
            <v>53</v>
          </cell>
          <cell r="E16">
            <v>3</v>
          </cell>
          <cell r="F16">
            <v>0</v>
          </cell>
        </row>
        <row r="17">
          <cell r="C17">
            <v>41</v>
          </cell>
          <cell r="D17">
            <v>19</v>
          </cell>
          <cell r="E17">
            <v>11</v>
          </cell>
          <cell r="F17">
            <v>0</v>
          </cell>
        </row>
        <row r="18">
          <cell r="C18">
            <v>19</v>
          </cell>
          <cell r="D18">
            <v>10</v>
          </cell>
          <cell r="E18">
            <v>10</v>
          </cell>
          <cell r="F18">
            <v>0</v>
          </cell>
        </row>
        <row r="19">
          <cell r="C19">
            <v>23</v>
          </cell>
          <cell r="D19">
            <v>7</v>
          </cell>
          <cell r="E19">
            <v>10</v>
          </cell>
          <cell r="F19">
            <v>6</v>
          </cell>
        </row>
      </sheetData>
      <sheetData sheetId="4">
        <row r="3">
          <cell r="C3">
            <v>0</v>
          </cell>
          <cell r="D3">
            <v>2783</v>
          </cell>
          <cell r="E3">
            <v>260</v>
          </cell>
          <cell r="F3">
            <v>16</v>
          </cell>
        </row>
        <row r="4">
          <cell r="C4">
            <v>664</v>
          </cell>
          <cell r="D4">
            <v>446</v>
          </cell>
          <cell r="E4">
            <v>67</v>
          </cell>
          <cell r="F4">
            <v>0</v>
          </cell>
        </row>
        <row r="5">
          <cell r="C5">
            <v>275</v>
          </cell>
          <cell r="D5">
            <v>41</v>
          </cell>
          <cell r="E5">
            <v>47</v>
          </cell>
          <cell r="F5">
            <v>0</v>
          </cell>
        </row>
        <row r="6">
          <cell r="C6">
            <v>484</v>
          </cell>
          <cell r="D6">
            <v>514</v>
          </cell>
          <cell r="E6">
            <v>22</v>
          </cell>
          <cell r="F6">
            <v>4</v>
          </cell>
        </row>
        <row r="7">
          <cell r="C7">
            <v>476</v>
          </cell>
          <cell r="D7">
            <v>582</v>
          </cell>
          <cell r="E7">
            <v>165</v>
          </cell>
          <cell r="F7">
            <v>0</v>
          </cell>
        </row>
        <row r="8">
          <cell r="C8">
            <v>3820</v>
          </cell>
          <cell r="D8">
            <v>1414</v>
          </cell>
          <cell r="E8">
            <v>669</v>
          </cell>
          <cell r="F8">
            <v>865</v>
          </cell>
        </row>
        <row r="9">
          <cell r="C9">
            <v>311</v>
          </cell>
          <cell r="D9">
            <v>48</v>
          </cell>
          <cell r="E9">
            <v>32</v>
          </cell>
          <cell r="F9">
            <v>0</v>
          </cell>
        </row>
        <row r="10">
          <cell r="C10">
            <v>459</v>
          </cell>
          <cell r="D10">
            <v>466</v>
          </cell>
          <cell r="E10">
            <v>148</v>
          </cell>
          <cell r="F10">
            <v>0</v>
          </cell>
        </row>
        <row r="11">
          <cell r="C11">
            <v>263</v>
          </cell>
          <cell r="D11">
            <v>0</v>
          </cell>
          <cell r="E11">
            <v>0</v>
          </cell>
          <cell r="F11">
            <v>0</v>
          </cell>
        </row>
        <row r="12">
          <cell r="C12">
            <v>37</v>
          </cell>
          <cell r="D12">
            <v>0</v>
          </cell>
          <cell r="E12">
            <v>0</v>
          </cell>
          <cell r="F12">
            <v>0</v>
          </cell>
        </row>
        <row r="13">
          <cell r="C13">
            <v>528</v>
          </cell>
          <cell r="D13">
            <v>10</v>
          </cell>
          <cell r="E13">
            <v>88</v>
          </cell>
        </row>
        <row r="14">
          <cell r="C14">
            <v>0</v>
          </cell>
          <cell r="D14">
            <v>4</v>
          </cell>
          <cell r="E14">
            <v>69</v>
          </cell>
          <cell r="F14">
            <v>196</v>
          </cell>
        </row>
        <row r="15">
          <cell r="C15">
            <v>656</v>
          </cell>
          <cell r="D15">
            <v>46</v>
          </cell>
        </row>
        <row r="16">
          <cell r="C16">
            <v>108</v>
          </cell>
          <cell r="D16">
            <v>26</v>
          </cell>
          <cell r="E16">
            <v>6</v>
          </cell>
        </row>
        <row r="17">
          <cell r="C17">
            <v>45</v>
          </cell>
          <cell r="D17">
            <v>47</v>
          </cell>
          <cell r="E17">
            <v>13</v>
          </cell>
          <cell r="F17">
            <v>2</v>
          </cell>
        </row>
        <row r="18">
          <cell r="C18">
            <v>11</v>
          </cell>
          <cell r="D18">
            <v>10</v>
          </cell>
          <cell r="E18">
            <v>10</v>
          </cell>
          <cell r="F18">
            <v>0</v>
          </cell>
        </row>
        <row r="19">
          <cell r="C19">
            <v>8</v>
          </cell>
          <cell r="D19">
            <v>4</v>
          </cell>
          <cell r="E19">
            <v>12</v>
          </cell>
          <cell r="F19">
            <v>6</v>
          </cell>
        </row>
      </sheetData>
      <sheetData sheetId="5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表1_3" displayName="表1_3" ref="C3:F10" totalsRowShown="0">
  <tableColumns count="4">
    <tableColumn id="1" xr3:uid="{00000000-0010-0000-0000-000001000000}" name="列1"/>
    <tableColumn id="2" xr3:uid="{00000000-0010-0000-0000-000002000000}" name="列2"/>
    <tableColumn id="3" xr3:uid="{00000000-0010-0000-0000-000003000000}" name="列3"/>
    <tableColumn id="4" xr3:uid="{00000000-0010-0000-0000-000004000000}" name="列4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表1" displayName="表1" ref="C3:F10" totalsRowShown="0">
  <tableColumns count="4">
    <tableColumn id="1" xr3:uid="{00000000-0010-0000-0100-000001000000}" name="列1"/>
    <tableColumn id="2" xr3:uid="{00000000-0010-0000-0100-000002000000}" name="列2"/>
    <tableColumn id="3" xr3:uid="{00000000-0010-0000-0100-000003000000}" name="列3"/>
    <tableColumn id="4" xr3:uid="{00000000-0010-0000-0100-000004000000}" name="列4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2:F18"/>
  <sheetViews>
    <sheetView zoomScale="145" zoomScaleNormal="145" workbookViewId="0">
      <selection activeCell="I18" sqref="I18"/>
    </sheetView>
  </sheetViews>
  <sheetFormatPr defaultColWidth="9" defaultRowHeight="14.4" x14ac:dyDescent="0.25"/>
  <cols>
    <col min="1" max="1" width="4.6640625" style="10" customWidth="1"/>
    <col min="2" max="6" width="16.109375" style="10" customWidth="1"/>
    <col min="7" max="16384" width="9" style="10"/>
  </cols>
  <sheetData>
    <row r="2" spans="1:6" ht="31.2" x14ac:dyDescent="0.25">
      <c r="A2" s="1" t="s">
        <v>0</v>
      </c>
      <c r="B2" s="1" t="s">
        <v>1</v>
      </c>
      <c r="C2" s="1" t="s">
        <v>2</v>
      </c>
      <c r="D2" s="2" t="s">
        <v>3</v>
      </c>
      <c r="E2" s="2" t="s">
        <v>4</v>
      </c>
      <c r="F2" s="2" t="s">
        <v>5</v>
      </c>
    </row>
    <row r="3" spans="1:6" x14ac:dyDescent="0.25">
      <c r="B3" s="36">
        <v>1</v>
      </c>
      <c r="C3" s="36">
        <f>'1月'!C9</f>
        <v>13236</v>
      </c>
      <c r="D3" s="36">
        <f>'1月'!D9</f>
        <v>8434</v>
      </c>
      <c r="E3" s="36">
        <f>'1月'!E9</f>
        <v>5237</v>
      </c>
      <c r="F3" s="36">
        <f>'1月'!F9</f>
        <v>564</v>
      </c>
    </row>
    <row r="4" spans="1:6" ht="15.6" x14ac:dyDescent="0.25">
      <c r="B4" s="36">
        <v>2</v>
      </c>
      <c r="C4" s="3">
        <f>'2月 '!C9</f>
        <v>14537</v>
      </c>
      <c r="D4" s="3">
        <f>'2月 '!D9</f>
        <v>6829</v>
      </c>
      <c r="E4" s="3">
        <f>'2月 '!E9</f>
        <v>4256</v>
      </c>
      <c r="F4" s="3">
        <f>'2月 '!F9</f>
        <v>378</v>
      </c>
    </row>
    <row r="5" spans="1:6" x14ac:dyDescent="0.25">
      <c r="B5" s="36">
        <v>3</v>
      </c>
      <c r="C5" s="36">
        <f>'3.1-3.20'!C9</f>
        <v>8406</v>
      </c>
      <c r="D5" s="36">
        <f>'3.1-3.20'!D9</f>
        <v>5135</v>
      </c>
      <c r="E5" s="36">
        <f>'3.1-3.20'!E9</f>
        <v>2814</v>
      </c>
      <c r="F5" s="36">
        <f>'3.1-3.20'!F9</f>
        <v>163</v>
      </c>
    </row>
    <row r="6" spans="1:6" x14ac:dyDescent="0.25">
      <c r="B6" s="36">
        <v>4</v>
      </c>
      <c r="C6" s="36">
        <f>'3.20-4.20'!C9</f>
        <v>18813</v>
      </c>
      <c r="D6" s="36">
        <f>'3.20-4.20'!D9</f>
        <v>11038</v>
      </c>
      <c r="E6" s="36">
        <f>'3.20-4.20'!E9</f>
        <v>6546</v>
      </c>
      <c r="F6" s="36">
        <f>'3.20-4.20'!F9</f>
        <v>657</v>
      </c>
    </row>
    <row r="7" spans="1:6" ht="15.6" x14ac:dyDescent="0.25">
      <c r="B7" s="36">
        <v>5</v>
      </c>
      <c r="C7" s="3">
        <f>'4.20-5.20'!C9</f>
        <v>18709</v>
      </c>
      <c r="D7" s="3">
        <f>'4.20-5.20'!D9</f>
        <v>12373</v>
      </c>
      <c r="E7" s="3">
        <f>'4.20-5.20'!E9</f>
        <v>7115</v>
      </c>
      <c r="F7" s="3">
        <f>'4.20-5.20'!F9</f>
        <v>272</v>
      </c>
    </row>
    <row r="8" spans="1:6" ht="15.6" x14ac:dyDescent="0.25">
      <c r="B8" s="36">
        <v>6</v>
      </c>
      <c r="C8" s="3">
        <f>'5.20-6.20'!C9</f>
        <v>19174</v>
      </c>
      <c r="D8" s="3">
        <f>'5.20-6.20'!D9</f>
        <v>12952</v>
      </c>
      <c r="E8" s="3">
        <f>'5.20-6.20'!E9</f>
        <v>6993</v>
      </c>
      <c r="F8" s="3">
        <f>'5.20-6.20'!F9</f>
        <v>252</v>
      </c>
    </row>
    <row r="9" spans="1:6" x14ac:dyDescent="0.25">
      <c r="B9" s="36">
        <v>7</v>
      </c>
      <c r="C9" s="36">
        <f>'6.20-7.20'!C10</f>
        <v>21437</v>
      </c>
      <c r="D9" s="36">
        <f>'6.20-7.20'!D10</f>
        <v>14598</v>
      </c>
      <c r="E9" s="36">
        <f>'6.20-7.20'!E10</f>
        <v>7007</v>
      </c>
      <c r="F9" s="36">
        <f>'6.20-7.20'!F10</f>
        <v>216</v>
      </c>
    </row>
    <row r="10" spans="1:6" x14ac:dyDescent="0.25">
      <c r="B10" s="36">
        <v>8</v>
      </c>
      <c r="C10" s="36">
        <f>'7.20-8.20'!C9</f>
        <v>16614</v>
      </c>
      <c r="D10" s="36">
        <f>'7.20-8.20'!D9</f>
        <v>9507</v>
      </c>
      <c r="E10" s="36">
        <f>'7.20-8.20'!E9</f>
        <v>6212</v>
      </c>
      <c r="F10" s="36">
        <f>'7.20-8.20'!F9</f>
        <v>266</v>
      </c>
    </row>
    <row r="11" spans="1:6" x14ac:dyDescent="0.25">
      <c r="B11" s="36">
        <v>9</v>
      </c>
      <c r="C11" s="36">
        <f>'8.20-9.20'!C10</f>
        <v>24707</v>
      </c>
      <c r="D11" s="36">
        <f>'8.20-9.20'!D10</f>
        <v>11467</v>
      </c>
      <c r="E11" s="36">
        <f>'8.20-9.20'!E10</f>
        <v>6964</v>
      </c>
      <c r="F11" s="36">
        <f>'8.20-9.20'!F10</f>
        <v>395</v>
      </c>
    </row>
    <row r="12" spans="1:6" ht="15.6" x14ac:dyDescent="0.25">
      <c r="B12" s="36">
        <v>10</v>
      </c>
      <c r="C12" s="3">
        <f>'9.20-10.20'!C9</f>
        <v>20160</v>
      </c>
      <c r="D12" s="3">
        <f>'9.20-10.20'!D9</f>
        <v>11745</v>
      </c>
      <c r="E12" s="3">
        <f>'9.20-10.20'!E9</f>
        <v>8084</v>
      </c>
      <c r="F12" s="3">
        <f>'9.20-10.20'!F9</f>
        <v>319</v>
      </c>
    </row>
    <row r="13" spans="1:6" ht="15.6" x14ac:dyDescent="0.25">
      <c r="B13" s="36">
        <v>11</v>
      </c>
      <c r="C13" s="3">
        <f>'10.20-11.20'!C9</f>
        <v>16568</v>
      </c>
      <c r="D13" s="3">
        <f>'10.20-11.20'!D9</f>
        <v>9834</v>
      </c>
      <c r="E13" s="3">
        <f>'10.20-11.20'!E9</f>
        <v>9100</v>
      </c>
      <c r="F13" s="3">
        <f>'10.20-11.20'!F9</f>
        <v>301</v>
      </c>
    </row>
    <row r="14" spans="1:6" ht="15.6" x14ac:dyDescent="0.25">
      <c r="B14" s="36">
        <v>12</v>
      </c>
      <c r="C14" s="3">
        <f>'11.20-12.20'!C9</f>
        <v>14389</v>
      </c>
      <c r="D14" s="3">
        <f>'11.20-12.20'!D9</f>
        <v>10260</v>
      </c>
      <c r="E14" s="3">
        <f>'11.20-12.20'!E9</f>
        <v>11606</v>
      </c>
      <c r="F14" s="3">
        <f>'11.20-12.20'!F9</f>
        <v>1327</v>
      </c>
    </row>
    <row r="15" spans="1:6" x14ac:dyDescent="0.25">
      <c r="B15" s="36">
        <v>202209</v>
      </c>
      <c r="C15" s="36">
        <v>14136</v>
      </c>
      <c r="D15" s="36" t="s">
        <v>6</v>
      </c>
      <c r="E15" s="36" t="s">
        <v>7</v>
      </c>
      <c r="F15" s="36">
        <v>11008</v>
      </c>
    </row>
    <row r="16" spans="1:6" x14ac:dyDescent="0.25">
      <c r="B16" s="36">
        <v>202210</v>
      </c>
      <c r="C16" s="36">
        <v>14413</v>
      </c>
      <c r="D16" s="36">
        <v>11434</v>
      </c>
      <c r="E16" s="36">
        <v>6553</v>
      </c>
      <c r="F16" s="36">
        <v>359</v>
      </c>
    </row>
    <row r="17" spans="2:6" x14ac:dyDescent="0.25">
      <c r="B17" s="36">
        <v>202211</v>
      </c>
      <c r="C17" s="36">
        <v>9691</v>
      </c>
      <c r="D17" s="36">
        <v>7904</v>
      </c>
      <c r="E17" s="36">
        <v>5414</v>
      </c>
      <c r="F17" s="36">
        <v>574</v>
      </c>
    </row>
    <row r="18" spans="2:6" x14ac:dyDescent="0.25">
      <c r="B18" s="36">
        <v>202212</v>
      </c>
      <c r="C18" s="36">
        <v>10171</v>
      </c>
      <c r="D18" s="36">
        <v>7173</v>
      </c>
      <c r="E18" s="36">
        <v>5218</v>
      </c>
      <c r="F18" s="36">
        <v>493</v>
      </c>
    </row>
  </sheetData>
  <phoneticPr fontId="11" type="noConversion"/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15"/>
  <sheetViews>
    <sheetView workbookViewId="0">
      <selection activeCell="B15" sqref="B15"/>
    </sheetView>
  </sheetViews>
  <sheetFormatPr defaultColWidth="9" defaultRowHeight="14.4" x14ac:dyDescent="0.25"/>
  <cols>
    <col min="1" max="5" width="16.109375" style="10" customWidth="1"/>
    <col min="6" max="16384" width="9" style="10"/>
  </cols>
  <sheetData>
    <row r="1" spans="1:5" ht="31.2" customHeight="1" x14ac:dyDescent="0.25">
      <c r="A1" s="37" t="s">
        <v>8</v>
      </c>
      <c r="B1" s="38"/>
      <c r="C1" s="38"/>
      <c r="D1" s="38"/>
      <c r="E1" s="39"/>
    </row>
    <row r="2" spans="1:5" ht="44.4" customHeight="1" x14ac:dyDescent="0.25">
      <c r="A2" s="1" t="s">
        <v>1</v>
      </c>
      <c r="B2" s="1" t="s">
        <v>2</v>
      </c>
      <c r="C2" s="2" t="s">
        <v>3</v>
      </c>
      <c r="D2" s="2" t="s">
        <v>4</v>
      </c>
      <c r="E2" s="2" t="s">
        <v>5</v>
      </c>
    </row>
    <row r="3" spans="1:5" ht="35.4" customHeight="1" x14ac:dyDescent="0.25">
      <c r="A3" s="36" t="s">
        <v>9</v>
      </c>
      <c r="B3" s="36">
        <v>15150</v>
      </c>
      <c r="C3" s="36">
        <v>12139</v>
      </c>
      <c r="D3" s="36">
        <v>9052</v>
      </c>
      <c r="E3" s="36">
        <v>681</v>
      </c>
    </row>
    <row r="4" spans="1:5" ht="35.4" customHeight="1" x14ac:dyDescent="0.25">
      <c r="A4" s="36" t="s">
        <v>10</v>
      </c>
      <c r="B4" s="3">
        <v>10969</v>
      </c>
      <c r="C4" s="3">
        <v>8327</v>
      </c>
      <c r="D4" s="3">
        <v>6146</v>
      </c>
      <c r="E4" s="3">
        <v>409</v>
      </c>
    </row>
    <row r="5" spans="1:5" ht="35.4" customHeight="1" x14ac:dyDescent="0.25">
      <c r="A5" s="36" t="s">
        <v>11</v>
      </c>
      <c r="B5" s="36">
        <v>17563</v>
      </c>
      <c r="C5" s="36">
        <v>12644</v>
      </c>
      <c r="D5" s="36">
        <v>9103</v>
      </c>
      <c r="E5" s="36">
        <v>696</v>
      </c>
    </row>
    <row r="6" spans="1:5" ht="35.4" customHeight="1" x14ac:dyDescent="0.25">
      <c r="A6" s="36" t="s">
        <v>12</v>
      </c>
      <c r="B6" s="36">
        <v>14834</v>
      </c>
      <c r="C6" s="36">
        <v>11033</v>
      </c>
      <c r="D6" s="36">
        <v>7938</v>
      </c>
      <c r="E6" s="36">
        <v>514</v>
      </c>
    </row>
    <row r="7" spans="1:5" ht="35.4" customHeight="1" x14ac:dyDescent="0.25">
      <c r="A7" s="36" t="s">
        <v>13</v>
      </c>
      <c r="B7" s="3">
        <v>12062</v>
      </c>
      <c r="C7" s="3">
        <v>8660</v>
      </c>
      <c r="D7" s="3">
        <v>5537</v>
      </c>
      <c r="E7" s="3">
        <v>354</v>
      </c>
    </row>
    <row r="8" spans="1:5" ht="35.4" customHeight="1" x14ac:dyDescent="0.25">
      <c r="A8" s="36" t="s">
        <v>14</v>
      </c>
      <c r="B8" s="3">
        <f>'2024.6.3-6.28'!C9</f>
        <v>11409</v>
      </c>
      <c r="C8" s="3">
        <f>'2024.6.3-6.28'!D9</f>
        <v>7126</v>
      </c>
      <c r="D8" s="3">
        <f>'2024.6.3-6.28'!E9</f>
        <v>4239</v>
      </c>
      <c r="E8" s="3">
        <f>'2024.6.3-6.28'!F9</f>
        <v>581</v>
      </c>
    </row>
    <row r="9" spans="1:5" ht="35.4" customHeight="1" x14ac:dyDescent="0.25">
      <c r="A9" s="36" t="s">
        <v>15</v>
      </c>
      <c r="B9" s="3" cm="1">
        <f t="array" ref="B9:E9">'2024.7.1-7.31'!C9:F9</f>
        <v>16048</v>
      </c>
      <c r="C9" s="3">
        <v>8456</v>
      </c>
      <c r="D9" s="3">
        <v>5639</v>
      </c>
      <c r="E9" s="3">
        <v>1268</v>
      </c>
    </row>
    <row r="10" spans="1:5" ht="35.4" customHeight="1" x14ac:dyDescent="0.25">
      <c r="A10" s="36" t="s">
        <v>16</v>
      </c>
      <c r="B10" s="3">
        <v>15034</v>
      </c>
      <c r="C10" s="3">
        <v>7369</v>
      </c>
      <c r="D10" s="3">
        <v>4452</v>
      </c>
      <c r="E10" s="3">
        <v>1118</v>
      </c>
    </row>
    <row r="11" spans="1:5" ht="35.4" customHeight="1" x14ac:dyDescent="0.25">
      <c r="A11" s="36" t="s">
        <v>17</v>
      </c>
      <c r="B11" s="3">
        <v>15986</v>
      </c>
      <c r="C11" s="3">
        <v>7094</v>
      </c>
      <c r="D11" s="3">
        <v>4967</v>
      </c>
      <c r="E11" s="3">
        <v>1454</v>
      </c>
    </row>
    <row r="12" spans="1:5" ht="35.4" customHeight="1" x14ac:dyDescent="0.25">
      <c r="A12" s="36" t="s">
        <v>18</v>
      </c>
      <c r="B12" s="3">
        <v>14592</v>
      </c>
      <c r="C12" s="3">
        <v>9013</v>
      </c>
      <c r="D12" s="3">
        <v>5548</v>
      </c>
      <c r="E12" s="3">
        <v>1680</v>
      </c>
    </row>
    <row r="13" spans="1:5" ht="35.4" customHeight="1" x14ac:dyDescent="0.25">
      <c r="A13" s="36" t="s">
        <v>19</v>
      </c>
      <c r="B13" s="3">
        <v>14297</v>
      </c>
      <c r="C13" s="3">
        <v>10132</v>
      </c>
      <c r="D13" s="3">
        <v>4263</v>
      </c>
      <c r="E13" s="3">
        <v>1576</v>
      </c>
    </row>
    <row r="14" spans="1:5" ht="35.4" customHeight="1" x14ac:dyDescent="0.25">
      <c r="A14" s="36" t="s">
        <v>20</v>
      </c>
      <c r="B14" s="3">
        <v>15491</v>
      </c>
      <c r="C14" s="3">
        <v>10651</v>
      </c>
      <c r="D14" s="3">
        <v>5488</v>
      </c>
      <c r="E14" s="3">
        <v>2274</v>
      </c>
    </row>
    <row r="15" spans="1:5" ht="27.6" customHeight="1" x14ac:dyDescent="0.25">
      <c r="A15" s="1" t="s">
        <v>21</v>
      </c>
      <c r="B15" s="3">
        <f>SUM(B3:B14)</f>
        <v>173435</v>
      </c>
      <c r="C15" s="3">
        <f>SUM(C3:C14)</f>
        <v>112644</v>
      </c>
      <c r="D15" s="3">
        <f>SUM(D3:D14)</f>
        <v>72372</v>
      </c>
      <c r="E15" s="3">
        <f>SUM(E3:E14)</f>
        <v>12605</v>
      </c>
    </row>
  </sheetData>
  <mergeCells count="1">
    <mergeCell ref="A1:E1"/>
  </mergeCells>
  <phoneticPr fontId="1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E15"/>
  <sheetViews>
    <sheetView workbookViewId="0">
      <selection activeCell="G8" sqref="G8"/>
    </sheetView>
  </sheetViews>
  <sheetFormatPr defaultColWidth="9" defaultRowHeight="14.4" x14ac:dyDescent="0.25"/>
  <cols>
    <col min="1" max="5" width="16.109375" style="10" customWidth="1"/>
    <col min="6" max="16384" width="9" style="10"/>
  </cols>
  <sheetData>
    <row r="1" spans="1:5" ht="33" customHeight="1" x14ac:dyDescent="0.25">
      <c r="A1" s="40" t="s">
        <v>22</v>
      </c>
      <c r="B1" s="40"/>
      <c r="C1" s="40"/>
      <c r="D1" s="40"/>
      <c r="E1" s="40"/>
    </row>
    <row r="2" spans="1:5" ht="44.4" customHeight="1" x14ac:dyDescent="0.25">
      <c r="A2" s="32" t="s">
        <v>1</v>
      </c>
      <c r="B2" s="32" t="s">
        <v>2</v>
      </c>
      <c r="C2" s="33" t="s">
        <v>3</v>
      </c>
      <c r="D2" s="33" t="s">
        <v>4</v>
      </c>
      <c r="E2" s="33" t="s">
        <v>5</v>
      </c>
    </row>
    <row r="3" spans="1:5" ht="35.4" customHeight="1" x14ac:dyDescent="0.25">
      <c r="A3" s="34" t="s">
        <v>9</v>
      </c>
      <c r="B3" s="34" cm="1">
        <f t="array" ref="B3:E3">'2025.1.1-2025.1.27'!C9:F9</f>
        <v>13642</v>
      </c>
      <c r="C3" s="34">
        <v>9950</v>
      </c>
      <c r="D3" s="34">
        <v>4281</v>
      </c>
      <c r="E3" s="34">
        <v>2668</v>
      </c>
    </row>
    <row r="4" spans="1:5" ht="35.4" customHeight="1" x14ac:dyDescent="0.25">
      <c r="A4" s="34" t="s">
        <v>10</v>
      </c>
      <c r="B4" s="3">
        <f>'2025.2.5-2.28'!C9</f>
        <v>9645</v>
      </c>
      <c r="C4" s="3">
        <f>'2025.2.5-2.28'!D9</f>
        <v>6991</v>
      </c>
      <c r="D4" s="3">
        <f>'2025.2.5-2.28'!E9</f>
        <v>1399</v>
      </c>
      <c r="E4" s="3">
        <f>'2025.2.5-2.28'!F9</f>
        <v>149</v>
      </c>
    </row>
    <row r="5" spans="1:5" ht="35.4" customHeight="1" x14ac:dyDescent="0.25">
      <c r="A5" s="34" t="s">
        <v>11</v>
      </c>
      <c r="B5" s="34">
        <f>'2025.3.3-3.31'!C9</f>
        <v>13071</v>
      </c>
      <c r="C5" s="34">
        <f>'2025.3.3-3.31'!D9</f>
        <v>9338</v>
      </c>
      <c r="D5" s="34">
        <f>'2025.3.3-3.31'!E9</f>
        <v>3851</v>
      </c>
      <c r="E5" s="34">
        <f>'2025.3.3-3.31'!F9</f>
        <v>2295</v>
      </c>
    </row>
    <row r="6" spans="1:5" ht="35.4" customHeight="1" x14ac:dyDescent="0.25">
      <c r="A6" s="34" t="s">
        <v>12</v>
      </c>
      <c r="B6" s="34">
        <f>'2025.4.1-4.30'!C9</f>
        <v>13161</v>
      </c>
      <c r="C6" s="34">
        <f>'2025.4.1-4.30'!D9</f>
        <v>9582</v>
      </c>
      <c r="D6" s="34">
        <f>'2025.4.1-4.30'!E9</f>
        <v>5904</v>
      </c>
      <c r="E6" s="34">
        <f>'2025.4.1-4.30'!F9</f>
        <v>2918</v>
      </c>
    </row>
    <row r="7" spans="1:5" ht="35.4" customHeight="1" x14ac:dyDescent="0.25">
      <c r="A7" s="34" t="s">
        <v>13</v>
      </c>
      <c r="B7" s="3">
        <f>'2025.5.1-5.31'!C9</f>
        <v>13692</v>
      </c>
      <c r="C7" s="3">
        <f>'2025.5.1-5.31'!D9</f>
        <v>9299</v>
      </c>
      <c r="D7" s="3">
        <f>'2025.5.1-5.31'!E9</f>
        <v>2834</v>
      </c>
      <c r="E7" s="3">
        <f>'2025.5.1-5.31'!F9</f>
        <v>2520</v>
      </c>
    </row>
    <row r="8" spans="1:5" ht="35.4" customHeight="1" x14ac:dyDescent="0.25">
      <c r="A8" s="34" t="s">
        <v>14</v>
      </c>
      <c r="B8" s="3">
        <v>30899</v>
      </c>
      <c r="C8" s="3">
        <v>22014</v>
      </c>
      <c r="D8" s="3">
        <v>6011</v>
      </c>
      <c r="E8" s="3">
        <v>4183</v>
      </c>
    </row>
    <row r="9" spans="1:5" ht="35.4" customHeight="1" x14ac:dyDescent="0.25">
      <c r="A9" s="34" t="s">
        <v>15</v>
      </c>
      <c r="B9" s="3"/>
      <c r="C9" s="3"/>
      <c r="D9" s="3"/>
      <c r="E9" s="3"/>
    </row>
    <row r="10" spans="1:5" ht="35.4" customHeight="1" x14ac:dyDescent="0.25">
      <c r="A10" s="34" t="s">
        <v>16</v>
      </c>
      <c r="B10" s="3"/>
      <c r="C10" s="3"/>
      <c r="D10" s="3"/>
      <c r="E10" s="3"/>
    </row>
    <row r="11" spans="1:5" ht="35.4" customHeight="1" x14ac:dyDescent="0.25">
      <c r="A11" s="34" t="s">
        <v>17</v>
      </c>
      <c r="B11" s="3"/>
      <c r="C11" s="3"/>
      <c r="D11" s="3"/>
      <c r="E11" s="3"/>
    </row>
    <row r="12" spans="1:5" ht="35.4" customHeight="1" x14ac:dyDescent="0.25">
      <c r="A12" s="34" t="s">
        <v>18</v>
      </c>
      <c r="B12" s="3"/>
      <c r="C12" s="3"/>
      <c r="D12" s="3"/>
      <c r="E12" s="3"/>
    </row>
    <row r="13" spans="1:5" ht="35.4" customHeight="1" x14ac:dyDescent="0.25">
      <c r="A13" s="34" t="s">
        <v>19</v>
      </c>
      <c r="B13" s="3"/>
      <c r="C13" s="3"/>
      <c r="D13" s="3"/>
      <c r="E13" s="3"/>
    </row>
    <row r="14" spans="1:5" ht="35.4" customHeight="1" x14ac:dyDescent="0.25">
      <c r="A14" s="34" t="s">
        <v>20</v>
      </c>
      <c r="B14" s="3"/>
      <c r="C14" s="3"/>
      <c r="D14" s="3"/>
      <c r="E14" s="3"/>
    </row>
    <row r="15" spans="1:5" ht="27.6" customHeight="1" x14ac:dyDescent="0.25">
      <c r="A15" s="35" t="s">
        <v>21</v>
      </c>
      <c r="B15" s="34">
        <f>SUM(B3:B14)</f>
        <v>94110</v>
      </c>
      <c r="C15" s="34">
        <f>SUM(C3:C14)</f>
        <v>67174</v>
      </c>
      <c r="D15" s="34">
        <f>SUM(D3:D14)</f>
        <v>24280</v>
      </c>
      <c r="E15" s="34">
        <f>SUM(E3:E14)</f>
        <v>14733</v>
      </c>
    </row>
  </sheetData>
  <mergeCells count="1">
    <mergeCell ref="A1:E1"/>
  </mergeCells>
  <phoneticPr fontId="11" type="noConversion"/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4"/>
  <dimension ref="A1:F10"/>
  <sheetViews>
    <sheetView workbookViewId="0">
      <selection activeCell="D3" sqref="D3:D8"/>
    </sheetView>
  </sheetViews>
  <sheetFormatPr defaultColWidth="8.88671875" defaultRowHeight="14.4" x14ac:dyDescent="0.25"/>
  <cols>
    <col min="1" max="6" width="16.44140625" style="10" customWidth="1"/>
    <col min="7" max="16384" width="8.88671875" style="10"/>
  </cols>
  <sheetData>
    <row r="1" spans="1:6" s="9" customFormat="1" ht="40.049999999999997" customHeight="1" x14ac:dyDescent="0.25">
      <c r="A1" s="41" t="s">
        <v>24</v>
      </c>
      <c r="B1" s="41"/>
      <c r="C1" s="41"/>
      <c r="D1" s="41"/>
      <c r="E1" s="41"/>
      <c r="F1" s="41"/>
    </row>
    <row r="2" spans="1:6" s="9" customFormat="1" ht="30" customHeight="1" x14ac:dyDescent="0.25">
      <c r="A2" s="1" t="s">
        <v>0</v>
      </c>
      <c r="B2" s="1" t="s">
        <v>25</v>
      </c>
      <c r="C2" s="1" t="s">
        <v>2</v>
      </c>
      <c r="D2" s="2" t="s">
        <v>3</v>
      </c>
      <c r="E2" s="2" t="s">
        <v>4</v>
      </c>
      <c r="F2" s="2" t="s">
        <v>5</v>
      </c>
    </row>
    <row r="3" spans="1:6" s="9" customFormat="1" ht="30" customHeight="1" x14ac:dyDescent="0.25">
      <c r="A3" s="3">
        <v>1</v>
      </c>
      <c r="B3" s="3" t="s">
        <v>26</v>
      </c>
      <c r="C3" s="3">
        <v>630</v>
      </c>
      <c r="D3" s="8">
        <v>1703</v>
      </c>
      <c r="E3" s="8">
        <v>1140</v>
      </c>
      <c r="F3" s="6">
        <v>183</v>
      </c>
    </row>
    <row r="4" spans="1:6" s="9" customFormat="1" ht="30" customHeight="1" x14ac:dyDescent="0.25">
      <c r="A4" s="3">
        <v>2</v>
      </c>
      <c r="B4" s="3" t="s">
        <v>27</v>
      </c>
      <c r="C4" s="3">
        <v>341</v>
      </c>
      <c r="D4" s="3">
        <v>166</v>
      </c>
      <c r="E4" s="3">
        <v>380</v>
      </c>
      <c r="F4" s="3">
        <v>0</v>
      </c>
    </row>
    <row r="5" spans="1:6" s="9" customFormat="1" ht="30" customHeight="1" x14ac:dyDescent="0.25">
      <c r="A5" s="3">
        <v>3</v>
      </c>
      <c r="B5" s="3" t="s">
        <v>28</v>
      </c>
      <c r="C5" s="3">
        <v>30</v>
      </c>
      <c r="D5" s="8">
        <v>82</v>
      </c>
      <c r="E5" s="8">
        <v>91</v>
      </c>
      <c r="F5" s="3">
        <v>16</v>
      </c>
    </row>
    <row r="6" spans="1:6" s="9" customFormat="1" ht="30" customHeight="1" x14ac:dyDescent="0.25">
      <c r="A6" s="3">
        <v>4</v>
      </c>
      <c r="B6" s="3" t="s">
        <v>29</v>
      </c>
      <c r="C6" s="3">
        <v>2106</v>
      </c>
      <c r="D6" s="3">
        <v>1160</v>
      </c>
      <c r="E6" s="3">
        <v>597</v>
      </c>
      <c r="F6" s="3">
        <v>0</v>
      </c>
    </row>
    <row r="7" spans="1:6" s="9" customFormat="1" ht="30" customHeight="1" x14ac:dyDescent="0.25">
      <c r="A7" s="3">
        <v>5</v>
      </c>
      <c r="B7" s="3" t="s">
        <v>30</v>
      </c>
      <c r="C7" s="3">
        <v>8079</v>
      </c>
      <c r="D7" s="8">
        <v>5166</v>
      </c>
      <c r="E7" s="8">
        <v>2927</v>
      </c>
      <c r="F7" s="3">
        <v>310</v>
      </c>
    </row>
    <row r="8" spans="1:6" s="9" customFormat="1" ht="30" customHeight="1" x14ac:dyDescent="0.25">
      <c r="A8" s="3">
        <v>6</v>
      </c>
      <c r="B8" s="3" t="s">
        <v>31</v>
      </c>
      <c r="C8" s="3">
        <f>615+1435</f>
        <v>2050</v>
      </c>
      <c r="D8" s="3">
        <v>157</v>
      </c>
      <c r="E8" s="3">
        <v>102</v>
      </c>
      <c r="F8" s="3">
        <v>55</v>
      </c>
    </row>
    <row r="9" spans="1:6" s="9" customFormat="1" ht="30" customHeight="1" x14ac:dyDescent="0.25">
      <c r="A9" s="42" t="s">
        <v>32</v>
      </c>
      <c r="B9" s="43"/>
      <c r="C9" s="3">
        <f>SUM(C3:C8)</f>
        <v>13236</v>
      </c>
      <c r="D9" s="3">
        <f>SUM(D3:D8)</f>
        <v>8434</v>
      </c>
      <c r="E9" s="3">
        <f>SUM(E3:E8)</f>
        <v>5237</v>
      </c>
      <c r="F9" s="3">
        <f>SUM(F3:F8)</f>
        <v>564</v>
      </c>
    </row>
    <row r="10" spans="1:6" s="9" customFormat="1" ht="62.4" x14ac:dyDescent="0.25">
      <c r="A10" s="5" t="s">
        <v>23</v>
      </c>
      <c r="B10" s="5" t="s">
        <v>23</v>
      </c>
      <c r="C10" s="5" t="s">
        <v>33</v>
      </c>
      <c r="D10" s="5" t="s">
        <v>23</v>
      </c>
      <c r="E10" s="5" t="s">
        <v>23</v>
      </c>
      <c r="F10" s="5" t="s">
        <v>23</v>
      </c>
    </row>
  </sheetData>
  <mergeCells count="2">
    <mergeCell ref="A1:F1"/>
    <mergeCell ref="A9:B9"/>
  </mergeCells>
  <phoneticPr fontId="11" type="noConversion"/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1:F10"/>
  <sheetViews>
    <sheetView workbookViewId="0">
      <selection activeCell="D3" sqref="D3:D8"/>
    </sheetView>
  </sheetViews>
  <sheetFormatPr defaultColWidth="8.88671875" defaultRowHeight="14.4" x14ac:dyDescent="0.25"/>
  <cols>
    <col min="1" max="1" width="7.44140625" style="10" customWidth="1"/>
    <col min="2" max="2" width="23.88671875" style="10" customWidth="1"/>
    <col min="3" max="3" width="25.33203125" style="10" customWidth="1"/>
    <col min="4" max="6" width="14.77734375" style="10" customWidth="1"/>
    <col min="7" max="16384" width="8.88671875" style="10"/>
  </cols>
  <sheetData>
    <row r="1" spans="1:6" s="9" customFormat="1" ht="40.049999999999997" customHeight="1" x14ac:dyDescent="0.25">
      <c r="A1" s="41" t="s">
        <v>34</v>
      </c>
      <c r="B1" s="41"/>
      <c r="C1" s="41"/>
      <c r="D1" s="41"/>
      <c r="E1" s="41"/>
      <c r="F1" s="41"/>
    </row>
    <row r="2" spans="1:6" s="9" customFormat="1" ht="30" customHeight="1" x14ac:dyDescent="0.25">
      <c r="A2" s="1" t="s">
        <v>0</v>
      </c>
      <c r="B2" s="1" t="s">
        <v>25</v>
      </c>
      <c r="C2" s="1" t="s">
        <v>2</v>
      </c>
      <c r="D2" s="2" t="s">
        <v>3</v>
      </c>
      <c r="E2" s="2" t="s">
        <v>4</v>
      </c>
      <c r="F2" s="2" t="s">
        <v>5</v>
      </c>
    </row>
    <row r="3" spans="1:6" s="9" customFormat="1" ht="30" customHeight="1" x14ac:dyDescent="0.25">
      <c r="A3" s="3">
        <v>1</v>
      </c>
      <c r="B3" s="3" t="s">
        <v>26</v>
      </c>
      <c r="C3" s="3">
        <v>370</v>
      </c>
      <c r="D3" s="8">
        <v>1290</v>
      </c>
      <c r="E3" s="8">
        <v>961</v>
      </c>
      <c r="F3" s="6">
        <v>163</v>
      </c>
    </row>
    <row r="4" spans="1:6" s="9" customFormat="1" ht="30" customHeight="1" x14ac:dyDescent="0.25">
      <c r="A4" s="3">
        <v>2</v>
      </c>
      <c r="B4" s="3" t="s">
        <v>27</v>
      </c>
      <c r="C4" s="3">
        <v>721</v>
      </c>
      <c r="D4" s="3">
        <v>271</v>
      </c>
      <c r="E4" s="3">
        <v>576</v>
      </c>
      <c r="F4" s="3">
        <v>0</v>
      </c>
    </row>
    <row r="5" spans="1:6" s="9" customFormat="1" ht="30" customHeight="1" x14ac:dyDescent="0.25">
      <c r="A5" s="3">
        <v>3</v>
      </c>
      <c r="B5" s="3" t="s">
        <v>28</v>
      </c>
      <c r="C5" s="3">
        <v>24</v>
      </c>
      <c r="D5" s="8">
        <v>122</v>
      </c>
      <c r="E5" s="8">
        <v>110</v>
      </c>
      <c r="F5" s="3">
        <v>28</v>
      </c>
    </row>
    <row r="6" spans="1:6" s="9" customFormat="1" ht="30" customHeight="1" x14ac:dyDescent="0.25">
      <c r="A6" s="3">
        <v>4</v>
      </c>
      <c r="B6" s="3" t="s">
        <v>29</v>
      </c>
      <c r="C6" s="3">
        <v>2402</v>
      </c>
      <c r="D6" s="3">
        <v>1352</v>
      </c>
      <c r="E6" s="3">
        <v>646</v>
      </c>
      <c r="F6" s="3">
        <v>0</v>
      </c>
    </row>
    <row r="7" spans="1:6" s="9" customFormat="1" ht="30" customHeight="1" x14ac:dyDescent="0.25">
      <c r="A7" s="3">
        <v>5</v>
      </c>
      <c r="B7" s="3" t="s">
        <v>30</v>
      </c>
      <c r="C7" s="3">
        <v>6097</v>
      </c>
      <c r="D7" s="8">
        <v>3494</v>
      </c>
      <c r="E7" s="8">
        <v>1863</v>
      </c>
      <c r="F7" s="3">
        <v>98</v>
      </c>
    </row>
    <row r="8" spans="1:6" s="9" customFormat="1" ht="30" customHeight="1" x14ac:dyDescent="0.25">
      <c r="A8" s="3">
        <v>6</v>
      </c>
      <c r="B8" s="3" t="s">
        <v>31</v>
      </c>
      <c r="C8" s="3">
        <v>4923</v>
      </c>
      <c r="D8" s="3">
        <v>300</v>
      </c>
      <c r="E8" s="3">
        <v>100</v>
      </c>
      <c r="F8" s="3">
        <v>89</v>
      </c>
    </row>
    <row r="9" spans="1:6" s="9" customFormat="1" ht="30" customHeight="1" x14ac:dyDescent="0.25">
      <c r="A9" s="42" t="s">
        <v>32</v>
      </c>
      <c r="B9" s="43"/>
      <c r="C9" s="3">
        <f>SUM(C3:C8)</f>
        <v>14537</v>
      </c>
      <c r="D9" s="3">
        <f>SUM(D3:D8)</f>
        <v>6829</v>
      </c>
      <c r="E9" s="3">
        <f>SUM(E3:E8)</f>
        <v>4256</v>
      </c>
      <c r="F9" s="3">
        <f>SUM(F3:F8)</f>
        <v>378</v>
      </c>
    </row>
    <row r="10" spans="1:6" s="9" customFormat="1" ht="46.8" x14ac:dyDescent="0.25">
      <c r="A10" s="5" t="s">
        <v>23</v>
      </c>
      <c r="B10" s="5" t="s">
        <v>23</v>
      </c>
      <c r="C10" s="5" t="s">
        <v>33</v>
      </c>
      <c r="D10" s="5" t="s">
        <v>23</v>
      </c>
      <c r="E10" s="5" t="s">
        <v>23</v>
      </c>
      <c r="F10" s="5" t="s">
        <v>23</v>
      </c>
    </row>
  </sheetData>
  <mergeCells count="2">
    <mergeCell ref="A1:F1"/>
    <mergeCell ref="A9:B9"/>
  </mergeCells>
  <phoneticPr fontId="11" type="noConversion"/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/>
  <dimension ref="A1:F10"/>
  <sheetViews>
    <sheetView workbookViewId="0">
      <selection activeCell="D3" sqref="D3:D8"/>
    </sheetView>
  </sheetViews>
  <sheetFormatPr defaultColWidth="8.88671875" defaultRowHeight="14.4" x14ac:dyDescent="0.25"/>
  <cols>
    <col min="1" max="1" width="7.44140625" style="10" customWidth="1"/>
    <col min="2" max="2" width="23.88671875" style="10" customWidth="1"/>
    <col min="3" max="3" width="25.33203125" style="10" customWidth="1"/>
    <col min="4" max="6" width="14.77734375" style="10" customWidth="1"/>
    <col min="7" max="16384" width="8.88671875" style="10"/>
  </cols>
  <sheetData>
    <row r="1" spans="1:6" s="9" customFormat="1" ht="40.049999999999997" customHeight="1" x14ac:dyDescent="0.25">
      <c r="A1" s="41" t="s">
        <v>35</v>
      </c>
      <c r="B1" s="41"/>
      <c r="C1" s="41"/>
      <c r="D1" s="41"/>
      <c r="E1" s="41"/>
      <c r="F1" s="41"/>
    </row>
    <row r="2" spans="1:6" s="9" customFormat="1" ht="30" customHeight="1" x14ac:dyDescent="0.25">
      <c r="A2" s="1" t="s">
        <v>0</v>
      </c>
      <c r="B2" s="1" t="s">
        <v>25</v>
      </c>
      <c r="C2" s="1" t="s">
        <v>2</v>
      </c>
      <c r="D2" s="2" t="s">
        <v>3</v>
      </c>
      <c r="E2" s="2" t="s">
        <v>4</v>
      </c>
      <c r="F2" s="2" t="s">
        <v>5</v>
      </c>
    </row>
    <row r="3" spans="1:6" s="9" customFormat="1" ht="30" customHeight="1" x14ac:dyDescent="0.25">
      <c r="A3" s="3">
        <v>1</v>
      </c>
      <c r="B3" s="3" t="s">
        <v>26</v>
      </c>
      <c r="C3" s="3">
        <v>283</v>
      </c>
      <c r="D3" s="8">
        <v>902</v>
      </c>
      <c r="E3" s="8">
        <v>382</v>
      </c>
      <c r="F3" s="6">
        <v>9</v>
      </c>
    </row>
    <row r="4" spans="1:6" s="9" customFormat="1" ht="30" customHeight="1" x14ac:dyDescent="0.25">
      <c r="A4" s="3">
        <v>2</v>
      </c>
      <c r="B4" s="3" t="s">
        <v>27</v>
      </c>
      <c r="C4" s="3">
        <v>134</v>
      </c>
      <c r="D4" s="3">
        <v>185</v>
      </c>
      <c r="E4" s="3">
        <v>160</v>
      </c>
      <c r="F4" s="3">
        <v>0</v>
      </c>
    </row>
    <row r="5" spans="1:6" s="9" customFormat="1" ht="30" customHeight="1" x14ac:dyDescent="0.25">
      <c r="A5" s="3">
        <v>3</v>
      </c>
      <c r="B5" s="3" t="s">
        <v>28</v>
      </c>
      <c r="C5" s="3">
        <v>62</v>
      </c>
      <c r="D5" s="8">
        <v>125</v>
      </c>
      <c r="E5" s="8">
        <v>113</v>
      </c>
      <c r="F5" s="3">
        <v>30</v>
      </c>
    </row>
    <row r="6" spans="1:6" s="9" customFormat="1" ht="30" customHeight="1" x14ac:dyDescent="0.25">
      <c r="A6" s="3">
        <v>4</v>
      </c>
      <c r="B6" s="3" t="s">
        <v>29</v>
      </c>
      <c r="C6" s="3">
        <v>1419</v>
      </c>
      <c r="D6" s="3">
        <v>629</v>
      </c>
      <c r="E6" s="3">
        <v>385</v>
      </c>
      <c r="F6" s="3">
        <v>0</v>
      </c>
    </row>
    <row r="7" spans="1:6" s="9" customFormat="1" ht="30" customHeight="1" x14ac:dyDescent="0.25">
      <c r="A7" s="3">
        <v>5</v>
      </c>
      <c r="B7" s="3" t="s">
        <v>30</v>
      </c>
      <c r="C7" s="3">
        <v>4334</v>
      </c>
      <c r="D7" s="8">
        <v>3009</v>
      </c>
      <c r="E7" s="8">
        <v>1677</v>
      </c>
      <c r="F7" s="3">
        <v>79</v>
      </c>
    </row>
    <row r="8" spans="1:6" s="9" customFormat="1" ht="30" customHeight="1" x14ac:dyDescent="0.25">
      <c r="A8" s="3">
        <v>6</v>
      </c>
      <c r="B8" s="3" t="s">
        <v>31</v>
      </c>
      <c r="C8" s="3">
        <v>2174</v>
      </c>
      <c r="D8" s="3">
        <v>285</v>
      </c>
      <c r="E8" s="3">
        <v>97</v>
      </c>
      <c r="F8" s="3">
        <v>45</v>
      </c>
    </row>
    <row r="9" spans="1:6" s="9" customFormat="1" ht="30" customHeight="1" x14ac:dyDescent="0.25">
      <c r="A9" s="42" t="s">
        <v>32</v>
      </c>
      <c r="B9" s="43"/>
      <c r="C9" s="3">
        <f>SUM(C3:C8)</f>
        <v>8406</v>
      </c>
      <c r="D9" s="3">
        <f>SUM(D3:D8)</f>
        <v>5135</v>
      </c>
      <c r="E9" s="3">
        <f>SUM(E3:E8)</f>
        <v>2814</v>
      </c>
      <c r="F9" s="3">
        <f>SUM(F3:F8)</f>
        <v>163</v>
      </c>
    </row>
    <row r="10" spans="1:6" s="9" customFormat="1" ht="46.8" x14ac:dyDescent="0.25">
      <c r="A10" s="5" t="s">
        <v>23</v>
      </c>
      <c r="B10" s="5" t="s">
        <v>23</v>
      </c>
      <c r="C10" s="5" t="s">
        <v>33</v>
      </c>
      <c r="D10" s="5" t="s">
        <v>23</v>
      </c>
      <c r="E10" s="5" t="s">
        <v>23</v>
      </c>
      <c r="F10" s="5" t="s">
        <v>23</v>
      </c>
    </row>
  </sheetData>
  <mergeCells count="2">
    <mergeCell ref="A1:F1"/>
    <mergeCell ref="A9:B9"/>
  </mergeCells>
  <phoneticPr fontId="11" type="noConversion"/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/>
  <dimension ref="A1:F10"/>
  <sheetViews>
    <sheetView workbookViewId="0">
      <selection activeCell="D3" sqref="D3:D8"/>
    </sheetView>
  </sheetViews>
  <sheetFormatPr defaultColWidth="8.88671875" defaultRowHeight="14.4" x14ac:dyDescent="0.25"/>
  <cols>
    <col min="1" max="1" width="7.44140625" style="10" customWidth="1"/>
    <col min="2" max="2" width="23.88671875" style="10" customWidth="1"/>
    <col min="3" max="3" width="25.33203125" style="10" customWidth="1"/>
    <col min="4" max="6" width="14.77734375" style="10" customWidth="1"/>
    <col min="7" max="16384" width="8.88671875" style="10"/>
  </cols>
  <sheetData>
    <row r="1" spans="1:6" s="9" customFormat="1" ht="40.049999999999997" customHeight="1" x14ac:dyDescent="0.25">
      <c r="A1" s="41" t="s">
        <v>36</v>
      </c>
      <c r="B1" s="41"/>
      <c r="C1" s="41"/>
      <c r="D1" s="41"/>
      <c r="E1" s="41"/>
      <c r="F1" s="41"/>
    </row>
    <row r="2" spans="1:6" s="9" customFormat="1" ht="30" customHeight="1" x14ac:dyDescent="0.25">
      <c r="A2" s="1" t="s">
        <v>0</v>
      </c>
      <c r="B2" s="1" t="s">
        <v>25</v>
      </c>
      <c r="C2" s="1" t="s">
        <v>2</v>
      </c>
      <c r="D2" s="2" t="s">
        <v>3</v>
      </c>
      <c r="E2" s="2" t="s">
        <v>4</v>
      </c>
      <c r="F2" s="2" t="s">
        <v>5</v>
      </c>
    </row>
    <row r="3" spans="1:6" s="9" customFormat="1" ht="30" customHeight="1" x14ac:dyDescent="0.25">
      <c r="A3" s="3">
        <v>1</v>
      </c>
      <c r="B3" s="3" t="s">
        <v>26</v>
      </c>
      <c r="C3" s="3">
        <v>2112</v>
      </c>
      <c r="D3" s="8">
        <v>3099</v>
      </c>
      <c r="E3" s="8">
        <v>2679</v>
      </c>
      <c r="F3" s="6">
        <v>187</v>
      </c>
    </row>
    <row r="4" spans="1:6" s="9" customFormat="1" ht="30" customHeight="1" x14ac:dyDescent="0.25">
      <c r="A4" s="3">
        <v>2</v>
      </c>
      <c r="B4" s="3" t="s">
        <v>27</v>
      </c>
      <c r="C4" s="3">
        <v>879</v>
      </c>
      <c r="D4" s="3">
        <v>415</v>
      </c>
      <c r="E4" s="3">
        <v>370</v>
      </c>
      <c r="F4" s="3">
        <v>0</v>
      </c>
    </row>
    <row r="5" spans="1:6" s="9" customFormat="1" ht="30" customHeight="1" x14ac:dyDescent="0.25">
      <c r="A5" s="3">
        <v>3</v>
      </c>
      <c r="B5" s="3" t="s">
        <v>28</v>
      </c>
      <c r="C5" s="3">
        <v>140</v>
      </c>
      <c r="D5" s="8">
        <v>297</v>
      </c>
      <c r="E5" s="8">
        <v>275</v>
      </c>
      <c r="F5" s="3">
        <v>69</v>
      </c>
    </row>
    <row r="6" spans="1:6" s="9" customFormat="1" ht="30" customHeight="1" x14ac:dyDescent="0.25">
      <c r="A6" s="3">
        <v>4</v>
      </c>
      <c r="B6" s="3" t="s">
        <v>29</v>
      </c>
      <c r="C6" s="3">
        <v>2573</v>
      </c>
      <c r="D6" s="3">
        <v>1457</v>
      </c>
      <c r="E6" s="3">
        <v>656</v>
      </c>
      <c r="F6" s="3">
        <v>0</v>
      </c>
    </row>
    <row r="7" spans="1:6" s="9" customFormat="1" ht="30" customHeight="1" x14ac:dyDescent="0.25">
      <c r="A7" s="3">
        <v>5</v>
      </c>
      <c r="B7" s="3" t="s">
        <v>30</v>
      </c>
      <c r="C7" s="3">
        <f>6816+189+1726</f>
        <v>8731</v>
      </c>
      <c r="D7" s="8">
        <f>4912+558</f>
        <v>5470</v>
      </c>
      <c r="E7" s="8">
        <f>1986+368</f>
        <v>2354</v>
      </c>
      <c r="F7" s="3">
        <v>330</v>
      </c>
    </row>
    <row r="8" spans="1:6" s="9" customFormat="1" ht="30" customHeight="1" x14ac:dyDescent="0.25">
      <c r="A8" s="3">
        <v>6</v>
      </c>
      <c r="B8" s="3" t="s">
        <v>31</v>
      </c>
      <c r="C8" s="3">
        <f>943+3435</f>
        <v>4378</v>
      </c>
      <c r="D8" s="3">
        <v>300</v>
      </c>
      <c r="E8" s="3">
        <v>212</v>
      </c>
      <c r="F8" s="3">
        <v>71</v>
      </c>
    </row>
    <row r="9" spans="1:6" s="9" customFormat="1" ht="30" customHeight="1" x14ac:dyDescent="0.25">
      <c r="A9" s="42" t="s">
        <v>32</v>
      </c>
      <c r="B9" s="43"/>
      <c r="C9" s="3">
        <f>SUM(C3:C8)</f>
        <v>18813</v>
      </c>
      <c r="D9" s="3">
        <f t="shared" ref="D9:F9" si="0">SUM(D3:D8)</f>
        <v>11038</v>
      </c>
      <c r="E9" s="3">
        <f t="shared" si="0"/>
        <v>6546</v>
      </c>
      <c r="F9" s="3">
        <f t="shared" si="0"/>
        <v>657</v>
      </c>
    </row>
    <row r="10" spans="1:6" s="9" customFormat="1" ht="46.8" x14ac:dyDescent="0.25">
      <c r="A10" s="5" t="s">
        <v>23</v>
      </c>
      <c r="B10" s="5" t="s">
        <v>23</v>
      </c>
      <c r="C10" s="5" t="s">
        <v>33</v>
      </c>
      <c r="D10" s="5" t="s">
        <v>23</v>
      </c>
      <c r="E10" s="5" t="s">
        <v>23</v>
      </c>
      <c r="F10" s="5" t="s">
        <v>23</v>
      </c>
    </row>
  </sheetData>
  <mergeCells count="2">
    <mergeCell ref="A1:F1"/>
    <mergeCell ref="A9:B9"/>
  </mergeCells>
  <phoneticPr fontId="11" type="noConversion"/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/>
  <dimension ref="A1:O10"/>
  <sheetViews>
    <sheetView workbookViewId="0">
      <selection activeCell="D3" sqref="D3:D8"/>
    </sheetView>
  </sheetViews>
  <sheetFormatPr defaultColWidth="8.88671875" defaultRowHeight="14.4" x14ac:dyDescent="0.25"/>
  <cols>
    <col min="1" max="1" width="7.44140625" style="10" customWidth="1"/>
    <col min="2" max="2" width="23.88671875" style="10" customWidth="1"/>
    <col min="3" max="3" width="25.33203125" style="10" customWidth="1"/>
    <col min="4" max="6" width="14.77734375" style="10" customWidth="1"/>
    <col min="7" max="16384" width="8.88671875" style="10"/>
  </cols>
  <sheetData>
    <row r="1" spans="1:15" s="9" customFormat="1" ht="40.049999999999997" customHeight="1" x14ac:dyDescent="0.25">
      <c r="A1" s="41" t="s">
        <v>37</v>
      </c>
      <c r="B1" s="41"/>
      <c r="C1" s="41"/>
      <c r="D1" s="41"/>
      <c r="E1" s="41"/>
      <c r="F1" s="41"/>
    </row>
    <row r="2" spans="1:15" s="9" customFormat="1" ht="30" customHeight="1" x14ac:dyDescent="0.25">
      <c r="A2" s="1" t="s">
        <v>0</v>
      </c>
      <c r="B2" s="1" t="s">
        <v>25</v>
      </c>
      <c r="C2" s="1" t="s">
        <v>2</v>
      </c>
      <c r="D2" s="2" t="s">
        <v>3</v>
      </c>
      <c r="E2" s="2" t="s">
        <v>4</v>
      </c>
      <c r="F2" s="2" t="s">
        <v>5</v>
      </c>
    </row>
    <row r="3" spans="1:15" s="9" customFormat="1" ht="30" customHeight="1" x14ac:dyDescent="0.25">
      <c r="A3" s="3">
        <v>1</v>
      </c>
      <c r="B3" s="3" t="s">
        <v>26</v>
      </c>
      <c r="C3" s="3">
        <v>1778</v>
      </c>
      <c r="D3" s="8">
        <v>2294</v>
      </c>
      <c r="E3" s="8">
        <v>1783</v>
      </c>
      <c r="F3" s="6">
        <v>109</v>
      </c>
    </row>
    <row r="4" spans="1:15" s="9" customFormat="1" ht="30" customHeight="1" x14ac:dyDescent="0.25">
      <c r="A4" s="3">
        <v>2</v>
      </c>
      <c r="B4" s="3" t="s">
        <v>27</v>
      </c>
      <c r="C4" s="3">
        <v>790</v>
      </c>
      <c r="D4" s="3">
        <v>293</v>
      </c>
      <c r="E4" s="3">
        <v>362</v>
      </c>
      <c r="F4" s="3">
        <v>0</v>
      </c>
    </row>
    <row r="5" spans="1:15" s="9" customFormat="1" ht="30" customHeight="1" x14ac:dyDescent="0.25">
      <c r="A5" s="3">
        <v>3</v>
      </c>
      <c r="B5" s="3" t="s">
        <v>28</v>
      </c>
      <c r="C5" s="3">
        <v>96</v>
      </c>
      <c r="D5" s="8">
        <v>244</v>
      </c>
      <c r="E5" s="8">
        <v>224</v>
      </c>
      <c r="F5" s="3">
        <v>68</v>
      </c>
      <c r="L5" s="27"/>
      <c r="M5" s="27"/>
      <c r="N5" s="27"/>
      <c r="O5" s="27"/>
    </row>
    <row r="6" spans="1:15" s="9" customFormat="1" ht="30" customHeight="1" x14ac:dyDescent="0.25">
      <c r="A6" s="3">
        <v>4</v>
      </c>
      <c r="B6" s="3" t="s">
        <v>29</v>
      </c>
      <c r="C6" s="3">
        <v>2460</v>
      </c>
      <c r="D6" s="3">
        <v>1137</v>
      </c>
      <c r="E6" s="3">
        <v>524</v>
      </c>
      <c r="F6" s="3">
        <v>0</v>
      </c>
    </row>
    <row r="7" spans="1:15" s="9" customFormat="1" ht="30" customHeight="1" x14ac:dyDescent="0.25">
      <c r="A7" s="3">
        <v>5</v>
      </c>
      <c r="B7" s="3" t="s">
        <v>30</v>
      </c>
      <c r="C7" s="3">
        <v>9869</v>
      </c>
      <c r="D7" s="8">
        <v>5389</v>
      </c>
      <c r="E7" s="8">
        <v>3575</v>
      </c>
      <c r="F7" s="3">
        <v>42</v>
      </c>
    </row>
    <row r="8" spans="1:15" s="9" customFormat="1" ht="30" customHeight="1" x14ac:dyDescent="0.25">
      <c r="A8" s="3">
        <v>6</v>
      </c>
      <c r="B8" s="3" t="s">
        <v>31</v>
      </c>
      <c r="C8" s="3">
        <f>718+2998</f>
        <v>3716</v>
      </c>
      <c r="D8" s="3">
        <v>3016</v>
      </c>
      <c r="E8" s="3">
        <v>647</v>
      </c>
      <c r="F8" s="3">
        <f>700-647</f>
        <v>53</v>
      </c>
    </row>
    <row r="9" spans="1:15" s="9" customFormat="1" ht="30" customHeight="1" x14ac:dyDescent="0.25">
      <c r="A9" s="42" t="s">
        <v>32</v>
      </c>
      <c r="B9" s="43"/>
      <c r="C9" s="3">
        <f>SUM(C3:C8)</f>
        <v>18709</v>
      </c>
      <c r="D9" s="8">
        <f>SUM(D3:D8)</f>
        <v>12373</v>
      </c>
      <c r="E9" s="8">
        <f>SUM(E3:E8)</f>
        <v>7115</v>
      </c>
      <c r="F9" s="3">
        <f>SUM(F3:F8)</f>
        <v>272</v>
      </c>
    </row>
    <row r="10" spans="1:15" s="9" customFormat="1" ht="46.8" x14ac:dyDescent="0.25">
      <c r="A10" s="5" t="s">
        <v>23</v>
      </c>
      <c r="B10" s="5" t="s">
        <v>23</v>
      </c>
      <c r="C10" s="5" t="s">
        <v>33</v>
      </c>
      <c r="D10" s="5" t="s">
        <v>23</v>
      </c>
      <c r="E10" s="5" t="s">
        <v>23</v>
      </c>
      <c r="F10" s="5" t="s">
        <v>23</v>
      </c>
    </row>
  </sheetData>
  <mergeCells count="2">
    <mergeCell ref="A1:F1"/>
    <mergeCell ref="A9:B9"/>
  </mergeCells>
  <phoneticPr fontId="11" type="noConversion"/>
  <pageMargins left="0.75" right="0.75" top="1" bottom="1" header="0.5" footer="0.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/>
  <dimension ref="A1:O10"/>
  <sheetViews>
    <sheetView workbookViewId="0">
      <selection activeCell="D3" sqref="D3:D8"/>
    </sheetView>
  </sheetViews>
  <sheetFormatPr defaultColWidth="8.88671875" defaultRowHeight="14.4" x14ac:dyDescent="0.25"/>
  <cols>
    <col min="1" max="1" width="7.44140625" style="10" customWidth="1"/>
    <col min="2" max="2" width="23.88671875" style="10" customWidth="1"/>
    <col min="3" max="3" width="25.33203125" style="10" customWidth="1"/>
    <col min="4" max="6" width="14.77734375" style="10" customWidth="1"/>
    <col min="7" max="16384" width="8.88671875" style="10"/>
  </cols>
  <sheetData>
    <row r="1" spans="1:15" s="9" customFormat="1" ht="40.049999999999997" customHeight="1" x14ac:dyDescent="0.25">
      <c r="A1" s="41" t="s">
        <v>38</v>
      </c>
      <c r="B1" s="41"/>
      <c r="C1" s="41"/>
      <c r="D1" s="41"/>
      <c r="E1" s="41"/>
      <c r="F1" s="41"/>
    </row>
    <row r="2" spans="1:15" s="9" customFormat="1" ht="30" customHeight="1" x14ac:dyDescent="0.25">
      <c r="A2" s="30" t="s">
        <v>0</v>
      </c>
      <c r="B2" s="30" t="s">
        <v>25</v>
      </c>
      <c r="C2" s="30" t="s">
        <v>2</v>
      </c>
      <c r="D2" s="31" t="s">
        <v>3</v>
      </c>
      <c r="E2" s="31" t="s">
        <v>4</v>
      </c>
      <c r="F2" s="31" t="s">
        <v>5</v>
      </c>
    </row>
    <row r="3" spans="1:15" s="9" customFormat="1" ht="30" customHeight="1" x14ac:dyDescent="0.25">
      <c r="A3" s="3">
        <v>1</v>
      </c>
      <c r="B3" s="3" t="s">
        <v>26</v>
      </c>
      <c r="C3" s="3">
        <v>3014</v>
      </c>
      <c r="D3" s="8">
        <v>2981</v>
      </c>
      <c r="E3" s="8">
        <v>2102</v>
      </c>
      <c r="F3" s="6">
        <v>57</v>
      </c>
    </row>
    <row r="4" spans="1:15" s="9" customFormat="1" ht="30" customHeight="1" x14ac:dyDescent="0.25">
      <c r="A4" s="3">
        <v>2</v>
      </c>
      <c r="B4" s="3" t="s">
        <v>27</v>
      </c>
      <c r="C4" s="3">
        <v>718</v>
      </c>
      <c r="D4" s="3">
        <v>191</v>
      </c>
      <c r="E4" s="3">
        <v>299</v>
      </c>
      <c r="F4" s="3">
        <v>0</v>
      </c>
    </row>
    <row r="5" spans="1:15" s="9" customFormat="1" ht="30" customHeight="1" x14ac:dyDescent="0.25">
      <c r="A5" s="3">
        <v>3</v>
      </c>
      <c r="B5" s="3" t="s">
        <v>28</v>
      </c>
      <c r="C5" s="3">
        <v>105</v>
      </c>
      <c r="D5" s="8">
        <v>262</v>
      </c>
      <c r="E5" s="8">
        <v>245</v>
      </c>
      <c r="F5" s="3">
        <v>102</v>
      </c>
      <c r="L5" s="27"/>
      <c r="M5" s="27"/>
      <c r="N5" s="27"/>
      <c r="O5" s="27"/>
    </row>
    <row r="6" spans="1:15" s="9" customFormat="1" ht="30" customHeight="1" x14ac:dyDescent="0.25">
      <c r="A6" s="3">
        <v>4</v>
      </c>
      <c r="B6" s="3" t="s">
        <v>29</v>
      </c>
      <c r="C6" s="3">
        <v>2419</v>
      </c>
      <c r="D6" s="3">
        <v>1536</v>
      </c>
      <c r="E6" s="3">
        <v>583</v>
      </c>
      <c r="F6" s="3">
        <v>0</v>
      </c>
    </row>
    <row r="7" spans="1:15" s="9" customFormat="1" ht="30" customHeight="1" x14ac:dyDescent="0.25">
      <c r="A7" s="3">
        <v>5</v>
      </c>
      <c r="B7" s="3" t="s">
        <v>30</v>
      </c>
      <c r="C7" s="3">
        <v>9202</v>
      </c>
      <c r="D7" s="8">
        <v>4966</v>
      </c>
      <c r="E7" s="8">
        <v>3117</v>
      </c>
      <c r="F7" s="3">
        <v>40</v>
      </c>
    </row>
    <row r="8" spans="1:15" s="9" customFormat="1" ht="30" customHeight="1" x14ac:dyDescent="0.25">
      <c r="A8" s="3">
        <v>6</v>
      </c>
      <c r="B8" s="3" t="s">
        <v>31</v>
      </c>
      <c r="C8" s="3">
        <f>718+2998</f>
        <v>3716</v>
      </c>
      <c r="D8" s="3">
        <v>3016</v>
      </c>
      <c r="E8" s="3">
        <v>647</v>
      </c>
      <c r="F8" s="3">
        <f>700-647</f>
        <v>53</v>
      </c>
    </row>
    <row r="9" spans="1:15" s="9" customFormat="1" ht="30" customHeight="1" x14ac:dyDescent="0.25">
      <c r="A9" s="42" t="s">
        <v>32</v>
      </c>
      <c r="B9" s="43"/>
      <c r="C9" s="3">
        <f>SUM(C3:C8)</f>
        <v>19174</v>
      </c>
      <c r="D9" s="8">
        <f>SUM(D3:D8)</f>
        <v>12952</v>
      </c>
      <c r="E9" s="8">
        <f>SUM(E3:E8)</f>
        <v>6993</v>
      </c>
      <c r="F9" s="3">
        <f>SUM(F3:F8)</f>
        <v>252</v>
      </c>
    </row>
    <row r="10" spans="1:15" s="9" customFormat="1" ht="46.8" x14ac:dyDescent="0.25">
      <c r="A10" s="5" t="s">
        <v>23</v>
      </c>
      <c r="B10" s="5" t="s">
        <v>23</v>
      </c>
      <c r="C10" s="5" t="s">
        <v>33</v>
      </c>
      <c r="D10" s="5" t="s">
        <v>23</v>
      </c>
      <c r="E10" s="5" t="s">
        <v>23</v>
      </c>
      <c r="F10" s="5" t="s">
        <v>23</v>
      </c>
    </row>
  </sheetData>
  <mergeCells count="2">
    <mergeCell ref="A1:F1"/>
    <mergeCell ref="A9:B9"/>
  </mergeCells>
  <phoneticPr fontId="11" type="noConversion"/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9"/>
  <dimension ref="A1:F11"/>
  <sheetViews>
    <sheetView workbookViewId="0">
      <selection activeCell="D3" sqref="D3:D8"/>
    </sheetView>
  </sheetViews>
  <sheetFormatPr defaultColWidth="9" defaultRowHeight="14.4" x14ac:dyDescent="0.25"/>
  <cols>
    <col min="1" max="1" width="7.44140625" style="29" customWidth="1"/>
    <col min="2" max="2" width="23.88671875" style="29" customWidth="1"/>
    <col min="3" max="3" width="25.33203125" style="29" customWidth="1"/>
    <col min="4" max="6" width="14.77734375" style="29" customWidth="1"/>
    <col min="7" max="16384" width="9" style="29"/>
  </cols>
  <sheetData>
    <row r="1" spans="1:6" ht="28.8" customHeight="1" x14ac:dyDescent="0.25">
      <c r="A1" s="41" t="s">
        <v>39</v>
      </c>
      <c r="B1" s="41"/>
      <c r="C1" s="41"/>
      <c r="D1" s="41"/>
      <c r="E1" s="41"/>
      <c r="F1" s="41"/>
    </row>
    <row r="2" spans="1:6" ht="28.8" customHeight="1" x14ac:dyDescent="0.25">
      <c r="A2" s="1" t="s">
        <v>0</v>
      </c>
      <c r="B2" s="1" t="s">
        <v>25</v>
      </c>
      <c r="C2" s="1" t="s">
        <v>2</v>
      </c>
      <c r="D2" s="2" t="s">
        <v>3</v>
      </c>
      <c r="E2" s="2" t="s">
        <v>4</v>
      </c>
      <c r="F2" s="2" t="s">
        <v>5</v>
      </c>
    </row>
    <row r="3" spans="1:6" ht="28.8" hidden="1" customHeight="1" x14ac:dyDescent="0.25">
      <c r="A3" s="3"/>
      <c r="B3" s="3"/>
      <c r="C3" s="11" t="s">
        <v>40</v>
      </c>
      <c r="D3" s="12" t="s">
        <v>41</v>
      </c>
      <c r="E3" s="12" t="s">
        <v>42</v>
      </c>
      <c r="F3" s="13" t="s">
        <v>43</v>
      </c>
    </row>
    <row r="4" spans="1:6" ht="28.8" customHeight="1" x14ac:dyDescent="0.25">
      <c r="A4" s="3">
        <v>1</v>
      </c>
      <c r="B4" s="3" t="s">
        <v>26</v>
      </c>
      <c r="C4" s="11">
        <f>719+169+336+219+475+171+501+119</f>
        <v>2709</v>
      </c>
      <c r="D4" s="12">
        <f>149+422+54+418+65+415+112+470</f>
        <v>2105</v>
      </c>
      <c r="E4" s="12">
        <f>140+282+49+259+76+263+75+300</f>
        <v>1444</v>
      </c>
      <c r="F4" s="13">
        <f>0+12+13+12+20</f>
        <v>57</v>
      </c>
    </row>
    <row r="5" spans="1:6" ht="28.8" customHeight="1" x14ac:dyDescent="0.25">
      <c r="A5" s="3">
        <v>2</v>
      </c>
      <c r="B5" s="3" t="s">
        <v>27</v>
      </c>
      <c r="C5" s="14">
        <f>133+134+152+196</f>
        <v>615</v>
      </c>
      <c r="D5" s="15">
        <f>35+35+81+83</f>
        <v>234</v>
      </c>
      <c r="E5" s="15">
        <f>61+61+77+83</f>
        <v>282</v>
      </c>
      <c r="F5" s="16">
        <v>0</v>
      </c>
    </row>
    <row r="6" spans="1:6" ht="28.8" customHeight="1" x14ac:dyDescent="0.25">
      <c r="A6" s="3">
        <v>3</v>
      </c>
      <c r="B6" s="3" t="s">
        <v>28</v>
      </c>
      <c r="C6" s="14">
        <f>25+16+27+18</f>
        <v>86</v>
      </c>
      <c r="D6" s="17">
        <f>56+88+61+50</f>
        <v>255</v>
      </c>
      <c r="E6" s="17">
        <f>52+76+56+41</f>
        <v>225</v>
      </c>
      <c r="F6" s="16">
        <f>23+23+17+14</f>
        <v>77</v>
      </c>
    </row>
    <row r="7" spans="1:6" ht="28.8" customHeight="1" x14ac:dyDescent="0.25">
      <c r="A7" s="3">
        <v>4</v>
      </c>
      <c r="B7" s="3" t="s">
        <v>29</v>
      </c>
      <c r="C7" s="18">
        <v>3728</v>
      </c>
      <c r="D7" s="19">
        <v>3188</v>
      </c>
      <c r="E7" s="19">
        <v>540</v>
      </c>
      <c r="F7" s="20">
        <v>0</v>
      </c>
    </row>
    <row r="8" spans="1:6" ht="28.8" customHeight="1" x14ac:dyDescent="0.25">
      <c r="A8" s="3">
        <v>5</v>
      </c>
      <c r="B8" s="3" t="s">
        <v>30</v>
      </c>
      <c r="C8" s="18">
        <v>10597</v>
      </c>
      <c r="D8" s="21">
        <v>5691</v>
      </c>
      <c r="E8" s="21">
        <v>3985</v>
      </c>
      <c r="F8" s="20">
        <v>36</v>
      </c>
    </row>
    <row r="9" spans="1:6" ht="28.8" customHeight="1" x14ac:dyDescent="0.25">
      <c r="A9" s="3">
        <v>6</v>
      </c>
      <c r="B9" s="3" t="s">
        <v>31</v>
      </c>
      <c r="C9" s="4">
        <v>3702</v>
      </c>
      <c r="D9" s="21">
        <v>3125</v>
      </c>
      <c r="E9" s="21">
        <v>531</v>
      </c>
      <c r="F9" s="22">
        <v>46</v>
      </c>
    </row>
    <row r="10" spans="1:6" ht="28.8" customHeight="1" x14ac:dyDescent="0.25">
      <c r="A10" s="42" t="s">
        <v>32</v>
      </c>
      <c r="B10" s="43"/>
      <c r="C10" s="23">
        <f>SUM(C4:C9)</f>
        <v>21437</v>
      </c>
      <c r="D10" s="23">
        <f>SUM(D4:D9)</f>
        <v>14598</v>
      </c>
      <c r="E10" s="23">
        <f>SUM(E4:E9)</f>
        <v>7007</v>
      </c>
      <c r="F10" s="23">
        <f>SUM(F4:F9)</f>
        <v>216</v>
      </c>
    </row>
    <row r="11" spans="1:6" ht="28.8" customHeight="1" x14ac:dyDescent="0.25">
      <c r="A11" s="5" t="s">
        <v>23</v>
      </c>
      <c r="B11" s="5" t="s">
        <v>23</v>
      </c>
      <c r="C11" s="5" t="s">
        <v>33</v>
      </c>
      <c r="D11" s="5" t="s">
        <v>23</v>
      </c>
      <c r="E11" s="5" t="s">
        <v>23</v>
      </c>
      <c r="F11" s="5" t="s">
        <v>23</v>
      </c>
    </row>
  </sheetData>
  <mergeCells count="2">
    <mergeCell ref="A1:F1"/>
    <mergeCell ref="A10:B10"/>
  </mergeCells>
  <phoneticPr fontId="11" type="noConversion"/>
  <pageMargins left="0.75" right="0.75" top="1" bottom="1" header="0.5" footer="0.5"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0"/>
  <dimension ref="A1:O10"/>
  <sheetViews>
    <sheetView workbookViewId="0">
      <selection activeCell="D3" sqref="D3:D8"/>
    </sheetView>
  </sheetViews>
  <sheetFormatPr defaultColWidth="8.88671875" defaultRowHeight="14.4" x14ac:dyDescent="0.25"/>
  <cols>
    <col min="1" max="1" width="7.44140625" style="10" customWidth="1"/>
    <col min="2" max="2" width="23.88671875" style="10" customWidth="1"/>
    <col min="3" max="3" width="25.33203125" style="10" customWidth="1"/>
    <col min="4" max="6" width="14.77734375" style="10" customWidth="1"/>
    <col min="7" max="16384" width="8.88671875" style="10"/>
  </cols>
  <sheetData>
    <row r="1" spans="1:15" s="9" customFormat="1" ht="40.049999999999997" customHeight="1" x14ac:dyDescent="0.25">
      <c r="A1" s="41" t="s">
        <v>44</v>
      </c>
      <c r="B1" s="41"/>
      <c r="C1" s="41"/>
      <c r="D1" s="41"/>
      <c r="E1" s="41"/>
      <c r="F1" s="41"/>
    </row>
    <row r="2" spans="1:15" s="9" customFormat="1" ht="30" customHeight="1" x14ac:dyDescent="0.25">
      <c r="A2" s="1" t="s">
        <v>0</v>
      </c>
      <c r="B2" s="1" t="s">
        <v>25</v>
      </c>
      <c r="C2" s="1" t="s">
        <v>2</v>
      </c>
      <c r="D2" s="2" t="s">
        <v>3</v>
      </c>
      <c r="E2" s="2" t="s">
        <v>4</v>
      </c>
      <c r="F2" s="2" t="s">
        <v>5</v>
      </c>
    </row>
    <row r="3" spans="1:15" s="9" customFormat="1" ht="30" customHeight="1" x14ac:dyDescent="0.25">
      <c r="A3" s="3">
        <v>1</v>
      </c>
      <c r="B3" s="3" t="s">
        <v>26</v>
      </c>
      <c r="C3" s="15">
        <f>511+173+362+142+503+167+469+129</f>
        <v>2456</v>
      </c>
      <c r="D3" s="17">
        <f>188+503+67+455+102+493+139+521</f>
        <v>2468</v>
      </c>
      <c r="E3" s="17">
        <f>'[1]7.24-7.28'!$G$64+'[1]7.24-7.28'!$G$243+'[1]7.31-8.4'!$G$64+'[1]7.31-8.4'!$G$243+'[1]8.7-8.11'!$G$64+'[1]8.7-8.11'!$G$243+'[1]8.14-8.18'!$G$65+'[1]8.14-8.18'!$G$244</f>
        <v>1593</v>
      </c>
      <c r="F3" s="28">
        <f>'[1]7.24-7.28'!$H$64+'[1]7.24-7.28'!$H$243+'[1]7.31-8.4'!$H$64+'[1]7.31-8.4'!$H$243+'[1]8.7-8.11'!$H$64+'[1]8.7-8.11'!$H$243+'[1]8.14-8.18'!$H$65+'[1]8.14-8.18'!$H$244</f>
        <v>132</v>
      </c>
    </row>
    <row r="4" spans="1:15" s="9" customFormat="1" ht="30" customHeight="1" x14ac:dyDescent="0.25">
      <c r="A4" s="3">
        <v>2</v>
      </c>
      <c r="B4" s="3" t="s">
        <v>27</v>
      </c>
      <c r="C4" s="15">
        <f>'[1]7.24-7.28'!$E$265+'[1]7.31-8.4'!$E$265+'[1]8.7-8.11'!$E$265+'[1]8.14-8.18'!$E$266</f>
        <v>997</v>
      </c>
      <c r="D4" s="15">
        <f>'[1]7.24-7.28'!$F$265+'[1]7.31-8.4'!$F$265+'[1]8.7-8.11'!$F$265+'[1]8.14-8.18'!$F$266</f>
        <v>339</v>
      </c>
      <c r="E4" s="15">
        <f>'[1]7.24-7.28'!$G$265+'[1]7.31-8.4'!$G$265+'[1]8.7-8.11'!$G$265+'[1]8.14-8.18'!$G$266</f>
        <v>375</v>
      </c>
      <c r="F4" s="15">
        <v>0</v>
      </c>
    </row>
    <row r="5" spans="1:15" s="9" customFormat="1" ht="30" customHeight="1" x14ac:dyDescent="0.25">
      <c r="A5" s="3">
        <v>3</v>
      </c>
      <c r="B5" s="3" t="s">
        <v>28</v>
      </c>
      <c r="C5" s="15">
        <f>14+17+20+13</f>
        <v>64</v>
      </c>
      <c r="D5" s="17">
        <v>212</v>
      </c>
      <c r="E5" s="17">
        <v>188</v>
      </c>
      <c r="F5" s="15">
        <v>58</v>
      </c>
      <c r="L5" s="27"/>
      <c r="M5" s="27"/>
      <c r="N5" s="27"/>
      <c r="O5" s="27"/>
    </row>
    <row r="6" spans="1:15" s="9" customFormat="1" ht="30" customHeight="1" x14ac:dyDescent="0.25">
      <c r="A6" s="3">
        <v>4</v>
      </c>
      <c r="B6" s="3" t="s">
        <v>29</v>
      </c>
      <c r="C6" s="19">
        <v>1608</v>
      </c>
      <c r="D6" s="19">
        <v>1037</v>
      </c>
      <c r="E6" s="19">
        <v>482</v>
      </c>
      <c r="F6" s="19">
        <v>0</v>
      </c>
    </row>
    <row r="7" spans="1:15" s="9" customFormat="1" ht="30" customHeight="1" x14ac:dyDescent="0.25">
      <c r="A7" s="3">
        <v>5</v>
      </c>
      <c r="B7" s="3" t="s">
        <v>30</v>
      </c>
      <c r="C7" s="19">
        <v>8540</v>
      </c>
      <c r="D7" s="21">
        <v>4828</v>
      </c>
      <c r="E7" s="21">
        <v>3000</v>
      </c>
      <c r="F7" s="19">
        <v>27</v>
      </c>
    </row>
    <row r="8" spans="1:15" s="9" customFormat="1" ht="30" customHeight="1" x14ac:dyDescent="0.25">
      <c r="A8" s="3">
        <v>6</v>
      </c>
      <c r="B8" s="3" t="s">
        <v>31</v>
      </c>
      <c r="C8" s="3">
        <v>2949</v>
      </c>
      <c r="D8" s="21">
        <v>623</v>
      </c>
      <c r="E8" s="21">
        <v>574</v>
      </c>
      <c r="F8" s="21">
        <v>49</v>
      </c>
    </row>
    <row r="9" spans="1:15" s="9" customFormat="1" ht="30" customHeight="1" x14ac:dyDescent="0.25">
      <c r="A9" s="42" t="s">
        <v>32</v>
      </c>
      <c r="B9" s="43"/>
      <c r="C9" s="3">
        <f>SUM(C3:C8)</f>
        <v>16614</v>
      </c>
      <c r="D9" s="8">
        <f>SUM(D3:D8)</f>
        <v>9507</v>
      </c>
      <c r="E9" s="8">
        <f>SUM(E3:E8)</f>
        <v>6212</v>
      </c>
      <c r="F9" s="3">
        <f>SUM(F3:F8)</f>
        <v>266</v>
      </c>
    </row>
    <row r="10" spans="1:15" s="9" customFormat="1" ht="46.8" x14ac:dyDescent="0.25">
      <c r="A10" s="5" t="s">
        <v>23</v>
      </c>
      <c r="B10" s="5" t="s">
        <v>23</v>
      </c>
      <c r="C10" s="5" t="s">
        <v>33</v>
      </c>
      <c r="D10" s="5" t="s">
        <v>23</v>
      </c>
      <c r="E10" s="5" t="s">
        <v>23</v>
      </c>
      <c r="F10" s="5" t="s">
        <v>23</v>
      </c>
    </row>
  </sheetData>
  <mergeCells count="2">
    <mergeCell ref="A1:F1"/>
    <mergeCell ref="A9:B9"/>
  </mergeCells>
  <phoneticPr fontId="11" type="noConversion"/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1"/>
  <dimension ref="A1:P11"/>
  <sheetViews>
    <sheetView workbookViewId="0">
      <selection activeCell="D3" sqref="D3:D8"/>
    </sheetView>
  </sheetViews>
  <sheetFormatPr defaultColWidth="8.88671875" defaultRowHeight="14.4" x14ac:dyDescent="0.25"/>
  <cols>
    <col min="1" max="1" width="7.44140625" style="10" customWidth="1"/>
    <col min="2" max="2" width="23.88671875" style="10" customWidth="1"/>
    <col min="3" max="3" width="25.33203125" style="10" customWidth="1"/>
    <col min="4" max="6" width="14.77734375" style="10" customWidth="1"/>
    <col min="7" max="16384" width="8.88671875" style="10"/>
  </cols>
  <sheetData>
    <row r="1" spans="1:16" s="9" customFormat="1" ht="40.049999999999997" customHeight="1" x14ac:dyDescent="0.25">
      <c r="A1" s="41" t="s">
        <v>45</v>
      </c>
      <c r="B1" s="41"/>
      <c r="C1" s="41"/>
      <c r="D1" s="41"/>
      <c r="E1" s="41"/>
      <c r="F1" s="41"/>
    </row>
    <row r="2" spans="1:16" s="9" customFormat="1" ht="30" customHeight="1" x14ac:dyDescent="0.25">
      <c r="A2" s="1" t="s">
        <v>0</v>
      </c>
      <c r="B2" s="1" t="s">
        <v>25</v>
      </c>
      <c r="C2" s="1" t="s">
        <v>2</v>
      </c>
      <c r="D2" s="2" t="s">
        <v>3</v>
      </c>
      <c r="E2" s="2" t="s">
        <v>4</v>
      </c>
      <c r="F2" s="2" t="s">
        <v>5</v>
      </c>
    </row>
    <row r="3" spans="1:16" s="9" customFormat="1" ht="30" hidden="1" customHeight="1" x14ac:dyDescent="0.25">
      <c r="A3" s="3"/>
      <c r="B3" s="3"/>
      <c r="C3" s="11" t="s">
        <v>40</v>
      </c>
      <c r="D3" s="12" t="s">
        <v>41</v>
      </c>
      <c r="E3" s="12" t="s">
        <v>42</v>
      </c>
      <c r="F3" s="13" t="s">
        <v>43</v>
      </c>
      <c r="M3" s="24"/>
      <c r="N3" s="25"/>
      <c r="O3" s="25"/>
      <c r="P3" s="26"/>
    </row>
    <row r="4" spans="1:16" s="9" customFormat="1" ht="30" customHeight="1" x14ac:dyDescent="0.25">
      <c r="A4" s="3">
        <v>1</v>
      </c>
      <c r="B4" s="3" t="s">
        <v>26</v>
      </c>
      <c r="C4" s="11">
        <v>5173</v>
      </c>
      <c r="D4" s="12">
        <v>3833</v>
      </c>
      <c r="E4" s="12">
        <v>2271</v>
      </c>
      <c r="F4" s="13">
        <v>217</v>
      </c>
    </row>
    <row r="5" spans="1:16" s="9" customFormat="1" ht="30" customHeight="1" x14ac:dyDescent="0.25">
      <c r="A5" s="3">
        <v>2</v>
      </c>
      <c r="B5" s="3" t="s">
        <v>27</v>
      </c>
      <c r="C5" s="14">
        <f>278+356+1300</f>
        <v>1934</v>
      </c>
      <c r="D5" s="15">
        <f>124+79+240</f>
        <v>443</v>
      </c>
      <c r="E5" s="15">
        <f>59+67+211</f>
        <v>337</v>
      </c>
      <c r="F5" s="16">
        <v>0</v>
      </c>
    </row>
    <row r="6" spans="1:16" s="9" customFormat="1" ht="30" customHeight="1" x14ac:dyDescent="0.25">
      <c r="A6" s="3">
        <v>3</v>
      </c>
      <c r="B6" s="3" t="s">
        <v>28</v>
      </c>
      <c r="C6" s="14">
        <f>10+27+53</f>
        <v>90</v>
      </c>
      <c r="D6" s="17">
        <f>43+56+158</f>
        <v>257</v>
      </c>
      <c r="E6" s="17">
        <f>45+51+143</f>
        <v>239</v>
      </c>
      <c r="F6" s="16">
        <f>11+16+64</f>
        <v>91</v>
      </c>
      <c r="L6" s="27"/>
      <c r="M6" s="27"/>
      <c r="N6" s="27"/>
      <c r="O6" s="27"/>
    </row>
    <row r="7" spans="1:16" s="9" customFormat="1" ht="30" customHeight="1" x14ac:dyDescent="0.25">
      <c r="A7" s="3">
        <v>4</v>
      </c>
      <c r="B7" s="3" t="s">
        <v>29</v>
      </c>
      <c r="C7" s="18">
        <v>4195</v>
      </c>
      <c r="D7" s="19">
        <v>1492</v>
      </c>
      <c r="E7" s="19">
        <v>565</v>
      </c>
      <c r="F7" s="20">
        <v>0</v>
      </c>
    </row>
    <row r="8" spans="1:16" s="9" customFormat="1" ht="30" customHeight="1" x14ac:dyDescent="0.25">
      <c r="A8" s="3">
        <v>5</v>
      </c>
      <c r="B8" s="3" t="s">
        <v>30</v>
      </c>
      <c r="C8" s="18">
        <v>9742</v>
      </c>
      <c r="D8" s="21">
        <v>4999</v>
      </c>
      <c r="E8" s="21">
        <v>3162</v>
      </c>
      <c r="F8" s="20">
        <v>34</v>
      </c>
    </row>
    <row r="9" spans="1:16" s="9" customFormat="1" ht="30" customHeight="1" x14ac:dyDescent="0.25">
      <c r="A9" s="3">
        <v>6</v>
      </c>
      <c r="B9" s="3" t="s">
        <v>31</v>
      </c>
      <c r="C9" s="4">
        <v>3573</v>
      </c>
      <c r="D9" s="21">
        <v>443</v>
      </c>
      <c r="E9" s="21">
        <f>190+200</f>
        <v>390</v>
      </c>
      <c r="F9" s="22">
        <v>53</v>
      </c>
    </row>
    <row r="10" spans="1:16" s="9" customFormat="1" ht="30" customHeight="1" x14ac:dyDescent="0.25">
      <c r="A10" s="42" t="s">
        <v>32</v>
      </c>
      <c r="B10" s="43"/>
      <c r="C10" s="23">
        <f>SUM(C4:C9)</f>
        <v>24707</v>
      </c>
      <c r="D10" s="23">
        <f>SUM(D4:D9)</f>
        <v>11467</v>
      </c>
      <c r="E10" s="23">
        <f>SUM(E4:E9)</f>
        <v>6964</v>
      </c>
      <c r="F10" s="23">
        <f>SUM(F4:F9)</f>
        <v>395</v>
      </c>
    </row>
    <row r="11" spans="1:16" s="9" customFormat="1" ht="46.8" x14ac:dyDescent="0.25">
      <c r="A11" s="5" t="s">
        <v>23</v>
      </c>
      <c r="B11" s="5" t="s">
        <v>23</v>
      </c>
      <c r="C11" s="5" t="s">
        <v>33</v>
      </c>
      <c r="D11" s="5" t="s">
        <v>23</v>
      </c>
      <c r="E11" s="5" t="s">
        <v>23</v>
      </c>
      <c r="F11" s="5" t="s">
        <v>23</v>
      </c>
    </row>
  </sheetData>
  <mergeCells count="2">
    <mergeCell ref="A1:F1"/>
    <mergeCell ref="A10:B10"/>
  </mergeCells>
  <phoneticPr fontId="11" type="noConversion"/>
  <pageMargins left="0.75" right="0.75" top="1" bottom="1" header="0.5" footer="0.5"/>
  <tableParts count="1">
    <tablePart r:id="rId1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2"/>
  <dimension ref="A1:F10"/>
  <sheetViews>
    <sheetView zoomScale="85" zoomScaleNormal="85" workbookViewId="0">
      <selection activeCell="D3" sqref="D3:D8"/>
    </sheetView>
  </sheetViews>
  <sheetFormatPr defaultColWidth="9" defaultRowHeight="14.4" x14ac:dyDescent="0.25"/>
  <cols>
    <col min="1" max="1" width="7.44140625" customWidth="1"/>
    <col min="2" max="2" width="23.88671875" customWidth="1"/>
    <col min="3" max="3" width="25.33203125" customWidth="1"/>
    <col min="4" max="6" width="14.77734375" customWidth="1"/>
  </cols>
  <sheetData>
    <row r="1" spans="1:6" ht="20.399999999999999" x14ac:dyDescent="0.25">
      <c r="A1" s="41" t="s">
        <v>46</v>
      </c>
      <c r="B1" s="41"/>
      <c r="C1" s="41"/>
      <c r="D1" s="41"/>
      <c r="E1" s="41"/>
      <c r="F1" s="41"/>
    </row>
    <row r="2" spans="1:6" ht="23.4" customHeight="1" x14ac:dyDescent="0.25">
      <c r="A2" s="1" t="s">
        <v>0</v>
      </c>
      <c r="B2" s="1" t="s">
        <v>25</v>
      </c>
      <c r="C2" s="1" t="s">
        <v>2</v>
      </c>
      <c r="D2" s="2" t="s">
        <v>3</v>
      </c>
      <c r="E2" s="2" t="s">
        <v>4</v>
      </c>
      <c r="F2" s="2" t="s">
        <v>5</v>
      </c>
    </row>
    <row r="3" spans="1:6" ht="42.6" customHeight="1" x14ac:dyDescent="0.25">
      <c r="A3" s="3">
        <v>1</v>
      </c>
      <c r="B3" s="3" t="s">
        <v>26</v>
      </c>
      <c r="C3" s="3">
        <v>5342</v>
      </c>
      <c r="D3" s="8">
        <v>4980</v>
      </c>
      <c r="E3" s="8">
        <v>2835</v>
      </c>
      <c r="F3" s="6">
        <v>131</v>
      </c>
    </row>
    <row r="4" spans="1:6" ht="42.6" customHeight="1" x14ac:dyDescent="0.25">
      <c r="A4" s="3">
        <v>2</v>
      </c>
      <c r="B4" s="3" t="s">
        <v>27</v>
      </c>
      <c r="C4" s="3">
        <v>1577</v>
      </c>
      <c r="D4" s="3">
        <v>239</v>
      </c>
      <c r="E4" s="3">
        <v>419</v>
      </c>
      <c r="F4" s="3">
        <v>0</v>
      </c>
    </row>
    <row r="5" spans="1:6" ht="42.6" customHeight="1" x14ac:dyDescent="0.25">
      <c r="A5" s="3">
        <v>3</v>
      </c>
      <c r="B5" s="3" t="s">
        <v>28</v>
      </c>
      <c r="C5" s="3">
        <v>103</v>
      </c>
      <c r="D5" s="8">
        <v>227</v>
      </c>
      <c r="E5" s="8">
        <v>208</v>
      </c>
      <c r="F5" s="3">
        <v>98</v>
      </c>
    </row>
    <row r="6" spans="1:6" ht="42.6" customHeight="1" x14ac:dyDescent="0.25">
      <c r="A6" s="3">
        <v>4</v>
      </c>
      <c r="B6" s="3" t="s">
        <v>29</v>
      </c>
      <c r="C6" s="3">
        <v>4525</v>
      </c>
      <c r="D6" s="3">
        <v>1759</v>
      </c>
      <c r="E6" s="3">
        <v>616</v>
      </c>
      <c r="F6" s="3">
        <v>0</v>
      </c>
    </row>
    <row r="7" spans="1:6" ht="42.6" customHeight="1" x14ac:dyDescent="0.25">
      <c r="A7" s="3">
        <v>5</v>
      </c>
      <c r="B7" s="3" t="s">
        <v>30</v>
      </c>
      <c r="C7" s="3">
        <v>6222</v>
      </c>
      <c r="D7" s="8">
        <v>3893</v>
      </c>
      <c r="E7" s="8">
        <v>3424</v>
      </c>
      <c r="F7" s="3">
        <v>25</v>
      </c>
    </row>
    <row r="8" spans="1:6" ht="42.6" customHeight="1" x14ac:dyDescent="0.25">
      <c r="A8" s="3">
        <v>6</v>
      </c>
      <c r="B8" s="3" t="s">
        <v>31</v>
      </c>
      <c r="C8" s="3">
        <f>396+1995</f>
        <v>2391</v>
      </c>
      <c r="D8" s="3">
        <v>647</v>
      </c>
      <c r="E8" s="3">
        <v>582</v>
      </c>
      <c r="F8" s="3">
        <f>D8-E8</f>
        <v>65</v>
      </c>
    </row>
    <row r="9" spans="1:6" ht="42.6" customHeight="1" x14ac:dyDescent="0.25">
      <c r="A9" s="42" t="s">
        <v>32</v>
      </c>
      <c r="B9" s="43"/>
      <c r="C9" s="3">
        <f>SUM(C3:C8)</f>
        <v>20160</v>
      </c>
      <c r="D9" s="8">
        <f>SUM(D3:D8)</f>
        <v>11745</v>
      </c>
      <c r="E9" s="8">
        <f>SUM(E3:E8)</f>
        <v>8084</v>
      </c>
      <c r="F9" s="3">
        <f>SUM(F3:F8)</f>
        <v>319</v>
      </c>
    </row>
    <row r="10" spans="1:6" ht="42.6" customHeight="1" x14ac:dyDescent="0.25">
      <c r="A10" s="5" t="s">
        <v>23</v>
      </c>
      <c r="B10" s="5" t="s">
        <v>23</v>
      </c>
      <c r="C10" s="5" t="s">
        <v>33</v>
      </c>
      <c r="D10" s="5" t="s">
        <v>23</v>
      </c>
      <c r="E10" s="5" t="s">
        <v>23</v>
      </c>
      <c r="F10" s="5" t="s">
        <v>23</v>
      </c>
    </row>
  </sheetData>
  <mergeCells count="2">
    <mergeCell ref="A1:F1"/>
    <mergeCell ref="A9:B9"/>
  </mergeCells>
  <phoneticPr fontId="11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3"/>
  <dimension ref="A1:F10"/>
  <sheetViews>
    <sheetView workbookViewId="0">
      <selection activeCell="D3" sqref="D3:D8"/>
    </sheetView>
  </sheetViews>
  <sheetFormatPr defaultColWidth="9" defaultRowHeight="14.4" x14ac:dyDescent="0.25"/>
  <cols>
    <col min="1" max="1" width="7.44140625" customWidth="1"/>
    <col min="2" max="2" width="23.88671875" customWidth="1"/>
    <col min="3" max="3" width="25.33203125" customWidth="1"/>
    <col min="4" max="6" width="14.77734375" customWidth="1"/>
  </cols>
  <sheetData>
    <row r="1" spans="1:6" ht="20.399999999999999" x14ac:dyDescent="0.25">
      <c r="A1" s="41" t="s">
        <v>47</v>
      </c>
      <c r="B1" s="41"/>
      <c r="C1" s="41"/>
      <c r="D1" s="41"/>
      <c r="E1" s="41"/>
      <c r="F1" s="41"/>
    </row>
    <row r="2" spans="1:6" ht="15.6" x14ac:dyDescent="0.25">
      <c r="A2" s="1" t="s">
        <v>0</v>
      </c>
      <c r="B2" s="1" t="s">
        <v>25</v>
      </c>
      <c r="C2" s="1" t="s">
        <v>2</v>
      </c>
      <c r="D2" s="2" t="s">
        <v>3</v>
      </c>
      <c r="E2" s="2" t="s">
        <v>4</v>
      </c>
      <c r="F2" s="2" t="s">
        <v>5</v>
      </c>
    </row>
    <row r="3" spans="1:6" ht="40.799999999999997" customHeight="1" x14ac:dyDescent="0.25">
      <c r="A3" s="3">
        <v>1</v>
      </c>
      <c r="B3" s="3" t="s">
        <v>26</v>
      </c>
      <c r="C3" s="3">
        <f>530+457+929+1347+1071</f>
        <v>4334</v>
      </c>
      <c r="D3" s="8">
        <f>160+1212+1332+1388+1206</f>
        <v>5298</v>
      </c>
      <c r="E3" s="8">
        <f>137+654+700+834+746</f>
        <v>3071</v>
      </c>
      <c r="F3" s="6">
        <f>55+3+7+16</f>
        <v>81</v>
      </c>
    </row>
    <row r="4" spans="1:6" ht="40.799999999999997" customHeight="1" x14ac:dyDescent="0.25">
      <c r="A4" s="3">
        <v>2</v>
      </c>
      <c r="B4" s="3" t="s">
        <v>27</v>
      </c>
      <c r="C4" s="3">
        <f>146+782+182+219</f>
        <v>1329</v>
      </c>
      <c r="D4" s="3">
        <f>59+125+94+49</f>
        <v>327</v>
      </c>
      <c r="E4" s="3">
        <f>66+69+83+74</f>
        <v>292</v>
      </c>
      <c r="F4" s="3">
        <f>2</f>
        <v>2</v>
      </c>
    </row>
    <row r="5" spans="1:6" ht="40.799999999999997" customHeight="1" x14ac:dyDescent="0.25">
      <c r="A5" s="3">
        <v>3</v>
      </c>
      <c r="B5" s="3" t="s">
        <v>28</v>
      </c>
      <c r="C5" s="3">
        <f>22+23+38+32</f>
        <v>115</v>
      </c>
      <c r="D5" s="8">
        <f>55+53+57+58</f>
        <v>223</v>
      </c>
      <c r="E5" s="8">
        <f>50+50+61+60</f>
        <v>221</v>
      </c>
      <c r="F5" s="3">
        <f>21+21+23+25</f>
        <v>90</v>
      </c>
    </row>
    <row r="6" spans="1:6" ht="40.799999999999997" customHeight="1" x14ac:dyDescent="0.25">
      <c r="A6" s="3">
        <v>4</v>
      </c>
      <c r="B6" s="3" t="s">
        <v>29</v>
      </c>
      <c r="C6" s="3">
        <v>3944</v>
      </c>
      <c r="D6" s="3">
        <v>1262</v>
      </c>
      <c r="E6" s="3">
        <v>493</v>
      </c>
      <c r="F6" s="3">
        <v>0</v>
      </c>
    </row>
    <row r="7" spans="1:6" ht="40.799999999999997" customHeight="1" x14ac:dyDescent="0.25">
      <c r="A7" s="3">
        <v>5</v>
      </c>
      <c r="B7" s="3" t="s">
        <v>30</v>
      </c>
      <c r="C7" s="3">
        <v>4127</v>
      </c>
      <c r="D7" s="8">
        <v>2179</v>
      </c>
      <c r="E7" s="8">
        <v>4533</v>
      </c>
      <c r="F7" s="3">
        <v>73</v>
      </c>
    </row>
    <row r="8" spans="1:6" ht="40.799999999999997" customHeight="1" x14ac:dyDescent="0.25">
      <c r="A8" s="3">
        <v>6</v>
      </c>
      <c r="B8" s="3" t="s">
        <v>31</v>
      </c>
      <c r="C8" s="3">
        <v>2719</v>
      </c>
      <c r="D8" s="3">
        <v>545</v>
      </c>
      <c r="E8" s="3">
        <v>490</v>
      </c>
      <c r="F8" s="3">
        <f>D8-E8</f>
        <v>55</v>
      </c>
    </row>
    <row r="9" spans="1:6" ht="40.799999999999997" customHeight="1" x14ac:dyDescent="0.25">
      <c r="A9" s="42" t="s">
        <v>32</v>
      </c>
      <c r="B9" s="43"/>
      <c r="C9" s="3">
        <f>SUM(C3:C8)</f>
        <v>16568</v>
      </c>
      <c r="D9" s="3">
        <f t="shared" ref="D9:F9" si="0">SUM(D3:D8)</f>
        <v>9834</v>
      </c>
      <c r="E9" s="3">
        <f t="shared" si="0"/>
        <v>9100</v>
      </c>
      <c r="F9" s="3">
        <f t="shared" si="0"/>
        <v>301</v>
      </c>
    </row>
    <row r="10" spans="1:6" ht="46.8" x14ac:dyDescent="0.25">
      <c r="A10" s="5" t="s">
        <v>23</v>
      </c>
      <c r="B10" s="5" t="s">
        <v>23</v>
      </c>
      <c r="C10" s="5" t="s">
        <v>33</v>
      </c>
      <c r="D10" s="5" t="s">
        <v>23</v>
      </c>
      <c r="E10" s="5" t="s">
        <v>23</v>
      </c>
      <c r="F10" s="5" t="s">
        <v>23</v>
      </c>
    </row>
  </sheetData>
  <mergeCells count="2">
    <mergeCell ref="A1:F1"/>
    <mergeCell ref="A9:B9"/>
  </mergeCells>
  <phoneticPr fontId="11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4"/>
  <dimension ref="A1:F10"/>
  <sheetViews>
    <sheetView workbookViewId="0">
      <selection activeCell="D3" sqref="D3:D8"/>
    </sheetView>
  </sheetViews>
  <sheetFormatPr defaultColWidth="9" defaultRowHeight="14.4" x14ac:dyDescent="0.25"/>
  <cols>
    <col min="1" max="1" width="7.44140625" customWidth="1"/>
    <col min="2" max="2" width="23.88671875" customWidth="1"/>
    <col min="3" max="3" width="25.33203125" customWidth="1"/>
    <col min="4" max="6" width="17.88671875" customWidth="1"/>
  </cols>
  <sheetData>
    <row r="1" spans="1:6" ht="20.399999999999999" x14ac:dyDescent="0.25">
      <c r="A1" s="41" t="s">
        <v>48</v>
      </c>
      <c r="B1" s="41"/>
      <c r="C1" s="41"/>
      <c r="D1" s="41"/>
      <c r="E1" s="41"/>
      <c r="F1" s="41"/>
    </row>
    <row r="2" spans="1:6" ht="15.6" x14ac:dyDescent="0.25">
      <c r="A2" s="1" t="s">
        <v>0</v>
      </c>
      <c r="B2" s="1" t="s">
        <v>25</v>
      </c>
      <c r="C2" s="1" t="s">
        <v>2</v>
      </c>
      <c r="D2" s="2" t="s">
        <v>3</v>
      </c>
      <c r="E2" s="2" t="s">
        <v>4</v>
      </c>
      <c r="F2" s="2" t="s">
        <v>5</v>
      </c>
    </row>
    <row r="3" spans="1:6" ht="37.200000000000003" customHeight="1" x14ac:dyDescent="0.25">
      <c r="A3" s="3">
        <v>1</v>
      </c>
      <c r="B3" s="3" t="s">
        <v>26</v>
      </c>
      <c r="C3" s="3">
        <v>3851</v>
      </c>
      <c r="D3" s="8">
        <v>4821</v>
      </c>
      <c r="E3" s="8">
        <v>2733</v>
      </c>
      <c r="F3" s="6">
        <v>41</v>
      </c>
    </row>
    <row r="4" spans="1:6" ht="37.200000000000003" customHeight="1" x14ac:dyDescent="0.25">
      <c r="A4" s="3">
        <v>2</v>
      </c>
      <c r="B4" s="3" t="s">
        <v>27</v>
      </c>
      <c r="C4" s="3">
        <v>1062</v>
      </c>
      <c r="D4" s="3">
        <v>296</v>
      </c>
      <c r="E4" s="3">
        <v>344</v>
      </c>
      <c r="F4" s="3">
        <v>0</v>
      </c>
    </row>
    <row r="5" spans="1:6" ht="37.200000000000003" customHeight="1" x14ac:dyDescent="0.25">
      <c r="A5" s="3">
        <v>3</v>
      </c>
      <c r="B5" s="3" t="s">
        <v>28</v>
      </c>
      <c r="C5" s="3">
        <v>142</v>
      </c>
      <c r="D5" s="8">
        <v>234</v>
      </c>
      <c r="E5" s="8">
        <v>213</v>
      </c>
      <c r="F5" s="3">
        <v>100</v>
      </c>
    </row>
    <row r="6" spans="1:6" ht="37.200000000000003" customHeight="1" x14ac:dyDescent="0.25">
      <c r="A6" s="3">
        <v>4</v>
      </c>
      <c r="B6" s="3" t="s">
        <v>29</v>
      </c>
      <c r="C6" s="3">
        <v>1959</v>
      </c>
      <c r="D6" s="3">
        <v>960</v>
      </c>
      <c r="E6" s="3">
        <v>464</v>
      </c>
      <c r="F6" s="3">
        <v>0</v>
      </c>
    </row>
    <row r="7" spans="1:6" ht="37.200000000000003" customHeight="1" x14ac:dyDescent="0.25">
      <c r="A7" s="3">
        <v>5</v>
      </c>
      <c r="B7" s="3" t="s">
        <v>30</v>
      </c>
      <c r="C7" s="8">
        <f>2249+1479+1175</f>
        <v>4903</v>
      </c>
      <c r="D7" s="8">
        <f>3420+373</f>
        <v>3793</v>
      </c>
      <c r="E7" s="8">
        <f>7537+254</f>
        <v>7791</v>
      </c>
      <c r="F7" s="3">
        <f>1172</f>
        <v>1172</v>
      </c>
    </row>
    <row r="8" spans="1:6" ht="37.200000000000003" customHeight="1" x14ac:dyDescent="0.25">
      <c r="A8" s="3">
        <v>6</v>
      </c>
      <c r="B8" s="3" t="s">
        <v>31</v>
      </c>
      <c r="C8" s="3">
        <f>484+1988</f>
        <v>2472</v>
      </c>
      <c r="D8" s="3">
        <v>156</v>
      </c>
      <c r="E8" s="3">
        <v>61</v>
      </c>
      <c r="F8" s="3">
        <f>231-D8-E8</f>
        <v>14</v>
      </c>
    </row>
    <row r="9" spans="1:6" ht="37.200000000000003" customHeight="1" x14ac:dyDescent="0.25">
      <c r="A9" s="42" t="s">
        <v>32</v>
      </c>
      <c r="B9" s="43"/>
      <c r="C9" s="3">
        <f>SUM(C3:C8)</f>
        <v>14389</v>
      </c>
      <c r="D9" s="3">
        <f t="shared" ref="D9:F9" si="0">SUM(D3:D8)</f>
        <v>10260</v>
      </c>
      <c r="E9" s="3">
        <f t="shared" si="0"/>
        <v>11606</v>
      </c>
      <c r="F9" s="3">
        <f t="shared" si="0"/>
        <v>1327</v>
      </c>
    </row>
    <row r="10" spans="1:6" ht="46.8" x14ac:dyDescent="0.25">
      <c r="A10" s="5" t="s">
        <v>23</v>
      </c>
      <c r="B10" s="5" t="s">
        <v>23</v>
      </c>
      <c r="C10" s="5" t="s">
        <v>33</v>
      </c>
      <c r="D10" s="5" t="s">
        <v>23</v>
      </c>
      <c r="E10" s="5" t="s">
        <v>23</v>
      </c>
      <c r="F10" s="5" t="s">
        <v>23</v>
      </c>
    </row>
  </sheetData>
  <mergeCells count="2">
    <mergeCell ref="A1:F1"/>
    <mergeCell ref="A9:B9"/>
  </mergeCells>
  <phoneticPr fontId="11" type="noConversion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5"/>
  <dimension ref="A1:F10"/>
  <sheetViews>
    <sheetView topLeftCell="A4" workbookViewId="0">
      <selection activeCell="I4" sqref="I4"/>
    </sheetView>
  </sheetViews>
  <sheetFormatPr defaultColWidth="9" defaultRowHeight="14.4" x14ac:dyDescent="0.25"/>
  <cols>
    <col min="1" max="1" width="7.44140625" customWidth="1"/>
    <col min="2" max="2" width="23.88671875" customWidth="1"/>
    <col min="3" max="3" width="25.33203125" customWidth="1"/>
    <col min="4" max="6" width="14.77734375" customWidth="1"/>
  </cols>
  <sheetData>
    <row r="1" spans="1:6" ht="20.399999999999999" x14ac:dyDescent="0.25">
      <c r="A1" s="41" t="s">
        <v>49</v>
      </c>
      <c r="B1" s="41"/>
      <c r="C1" s="41"/>
      <c r="D1" s="41"/>
      <c r="E1" s="41"/>
      <c r="F1" s="41"/>
    </row>
    <row r="2" spans="1:6" ht="15.6" x14ac:dyDescent="0.25">
      <c r="A2" s="1" t="s">
        <v>0</v>
      </c>
      <c r="B2" s="1" t="s">
        <v>25</v>
      </c>
      <c r="C2" s="1" t="s">
        <v>2</v>
      </c>
      <c r="D2" s="2" t="s">
        <v>3</v>
      </c>
      <c r="E2" s="2" t="s">
        <v>4</v>
      </c>
      <c r="F2" s="2" t="s">
        <v>5</v>
      </c>
    </row>
    <row r="3" spans="1:6" ht="40.799999999999997" customHeight="1" x14ac:dyDescent="0.25">
      <c r="A3" s="3">
        <v>1</v>
      </c>
      <c r="B3" s="3" t="s">
        <v>26</v>
      </c>
      <c r="C3" s="3">
        <f>2248+1274</f>
        <v>3522</v>
      </c>
      <c r="D3" s="8">
        <f>607+3755</f>
        <v>4362</v>
      </c>
      <c r="E3" s="8">
        <f>488+2159</f>
        <v>2647</v>
      </c>
      <c r="F3" s="6">
        <v>52</v>
      </c>
    </row>
    <row r="4" spans="1:6" ht="40.799999999999997" customHeight="1" x14ac:dyDescent="0.25">
      <c r="A4" s="3">
        <v>2</v>
      </c>
      <c r="B4" s="3" t="s">
        <v>27</v>
      </c>
      <c r="C4" s="3">
        <f>617+163+248+194</f>
        <v>1222</v>
      </c>
      <c r="D4" s="3">
        <f>39+39+38+18</f>
        <v>134</v>
      </c>
      <c r="E4" s="3">
        <f>64+71+63+46</f>
        <v>244</v>
      </c>
      <c r="F4" s="3">
        <v>0</v>
      </c>
    </row>
    <row r="5" spans="1:6" ht="40.799999999999997" customHeight="1" x14ac:dyDescent="0.25">
      <c r="A5" s="3">
        <v>3</v>
      </c>
      <c r="B5" s="3" t="s">
        <v>28</v>
      </c>
      <c r="C5" s="3">
        <f>18+15+18+13</f>
        <v>64</v>
      </c>
      <c r="D5" s="8">
        <f>51+50+56+50</f>
        <v>207</v>
      </c>
      <c r="E5" s="8">
        <f>53+52+51+50</f>
        <v>206</v>
      </c>
      <c r="F5" s="3">
        <f>26+24+25+23</f>
        <v>98</v>
      </c>
    </row>
    <row r="6" spans="1:6" ht="40.799999999999997" customHeight="1" x14ac:dyDescent="0.25">
      <c r="A6" s="3">
        <v>4</v>
      </c>
      <c r="B6" s="3" t="s">
        <v>29</v>
      </c>
      <c r="C6" s="3">
        <v>3693</v>
      </c>
      <c r="D6" s="3">
        <v>3308</v>
      </c>
      <c r="E6" s="3">
        <v>498</v>
      </c>
      <c r="F6" s="3">
        <v>0</v>
      </c>
    </row>
    <row r="7" spans="1:6" ht="40.799999999999997" customHeight="1" x14ac:dyDescent="0.25">
      <c r="A7" s="3">
        <v>5</v>
      </c>
      <c r="B7" s="3" t="s">
        <v>30</v>
      </c>
      <c r="C7" s="3">
        <f>1619+786+1278</f>
        <v>3683</v>
      </c>
      <c r="D7" s="3">
        <f>2917+410</f>
        <v>3327</v>
      </c>
      <c r="E7" s="3">
        <f>4475+287</f>
        <v>4762</v>
      </c>
      <c r="F7" s="3">
        <v>425</v>
      </c>
    </row>
    <row r="8" spans="1:6" ht="40.799999999999997" customHeight="1" x14ac:dyDescent="0.25">
      <c r="A8" s="3">
        <v>6</v>
      </c>
      <c r="B8" s="3" t="s">
        <v>31</v>
      </c>
      <c r="C8" s="3">
        <f>611+2355</f>
        <v>2966</v>
      </c>
      <c r="D8" s="3">
        <v>801</v>
      </c>
      <c r="E8" s="3">
        <v>695</v>
      </c>
      <c r="F8" s="3">
        <f>D8-E8</f>
        <v>106</v>
      </c>
    </row>
    <row r="9" spans="1:6" ht="40.799999999999997" customHeight="1" x14ac:dyDescent="0.25">
      <c r="A9" s="42" t="s">
        <v>32</v>
      </c>
      <c r="B9" s="43"/>
      <c r="C9" s="3">
        <f>SUM(C3:C8)</f>
        <v>15150</v>
      </c>
      <c r="D9" s="3">
        <f t="shared" ref="D9:F9" si="0">SUM(D3:D8)</f>
        <v>12139</v>
      </c>
      <c r="E9" s="3">
        <f t="shared" si="0"/>
        <v>9052</v>
      </c>
      <c r="F9" s="3">
        <f t="shared" si="0"/>
        <v>681</v>
      </c>
    </row>
    <row r="10" spans="1:6" ht="46.8" x14ac:dyDescent="0.25">
      <c r="A10" s="5" t="s">
        <v>23</v>
      </c>
      <c r="B10" s="5" t="s">
        <v>23</v>
      </c>
      <c r="C10" s="5" t="s">
        <v>33</v>
      </c>
      <c r="D10" s="5" t="s">
        <v>23</v>
      </c>
      <c r="E10" s="5" t="s">
        <v>23</v>
      </c>
      <c r="F10" s="5" t="s">
        <v>23</v>
      </c>
    </row>
  </sheetData>
  <mergeCells count="2">
    <mergeCell ref="A1:F1"/>
    <mergeCell ref="A9:B9"/>
  </mergeCells>
  <phoneticPr fontId="11" type="noConversion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6"/>
  <dimension ref="A1:F10"/>
  <sheetViews>
    <sheetView topLeftCell="A4" workbookViewId="0">
      <selection activeCell="I4" sqref="I4"/>
    </sheetView>
  </sheetViews>
  <sheetFormatPr defaultColWidth="9" defaultRowHeight="14.4" x14ac:dyDescent="0.25"/>
  <cols>
    <col min="1" max="1" width="7.44140625" customWidth="1"/>
    <col min="2" max="2" width="23.88671875" customWidth="1"/>
    <col min="3" max="3" width="25.33203125" customWidth="1"/>
    <col min="4" max="6" width="14.77734375" customWidth="1"/>
  </cols>
  <sheetData>
    <row r="1" spans="1:6" ht="20.399999999999999" x14ac:dyDescent="0.25">
      <c r="A1" s="41" t="s">
        <v>50</v>
      </c>
      <c r="B1" s="41"/>
      <c r="C1" s="41"/>
      <c r="D1" s="41"/>
      <c r="E1" s="41"/>
      <c r="F1" s="41"/>
    </row>
    <row r="2" spans="1:6" ht="15.6" x14ac:dyDescent="0.25">
      <c r="A2" s="1" t="s">
        <v>0</v>
      </c>
      <c r="B2" s="1" t="s">
        <v>25</v>
      </c>
      <c r="C2" s="1" t="s">
        <v>2</v>
      </c>
      <c r="D2" s="2" t="s">
        <v>3</v>
      </c>
      <c r="E2" s="2" t="s">
        <v>4</v>
      </c>
      <c r="F2" s="2" t="s">
        <v>5</v>
      </c>
    </row>
    <row r="3" spans="1:6" ht="42.6" customHeight="1" x14ac:dyDescent="0.25">
      <c r="A3" s="3">
        <v>1</v>
      </c>
      <c r="B3" s="3" t="s">
        <v>26</v>
      </c>
      <c r="C3" s="3">
        <f>884+882+562+870</f>
        <v>3198</v>
      </c>
      <c r="D3" s="8">
        <f>1050+214+694+485+106+351</f>
        <v>2900</v>
      </c>
      <c r="E3" s="8">
        <f>696+525+316+66+182</f>
        <v>1785</v>
      </c>
      <c r="F3" s="6">
        <f>23+18+6+6</f>
        <v>53</v>
      </c>
    </row>
    <row r="4" spans="1:6" ht="42.6" customHeight="1" x14ac:dyDescent="0.25">
      <c r="A4" s="3">
        <v>2</v>
      </c>
      <c r="B4" s="3" t="s">
        <v>27</v>
      </c>
      <c r="C4" s="3">
        <f>186+259+150+334</f>
        <v>929</v>
      </c>
      <c r="D4" s="3">
        <f>22+76+340+391</f>
        <v>829</v>
      </c>
      <c r="E4" s="3">
        <f>57+63+268+222</f>
        <v>610</v>
      </c>
      <c r="F4" s="3">
        <f>0+6+6</f>
        <v>12</v>
      </c>
    </row>
    <row r="5" spans="1:6" ht="42.6" customHeight="1" x14ac:dyDescent="0.25">
      <c r="A5" s="3">
        <v>3</v>
      </c>
      <c r="B5" s="3" t="s">
        <v>28</v>
      </c>
      <c r="C5" s="3">
        <f>11+11+10+10</f>
        <v>42</v>
      </c>
      <c r="D5" s="8">
        <f>49+48+45+36</f>
        <v>178</v>
      </c>
      <c r="E5" s="8">
        <f>46+16+43+45</f>
        <v>150</v>
      </c>
      <c r="F5" s="3">
        <f>23+22+21+18</f>
        <v>84</v>
      </c>
    </row>
    <row r="6" spans="1:6" ht="42.6" customHeight="1" x14ac:dyDescent="0.25">
      <c r="A6" s="3">
        <v>4</v>
      </c>
      <c r="B6" s="3" t="s">
        <v>29</v>
      </c>
      <c r="C6" s="3">
        <v>2156</v>
      </c>
      <c r="D6" s="3">
        <v>2007</v>
      </c>
      <c r="E6" s="3">
        <v>461</v>
      </c>
      <c r="F6" s="3">
        <v>0</v>
      </c>
    </row>
    <row r="7" spans="1:6" ht="42.6" customHeight="1" x14ac:dyDescent="0.25">
      <c r="A7" s="3">
        <v>5</v>
      </c>
      <c r="B7" s="3" t="s">
        <v>30</v>
      </c>
      <c r="C7" s="3">
        <v>3125</v>
      </c>
      <c r="D7" s="3">
        <v>1981</v>
      </c>
      <c r="E7" s="3">
        <v>3056</v>
      </c>
      <c r="F7" s="3">
        <v>232</v>
      </c>
    </row>
    <row r="8" spans="1:6" ht="42.6" customHeight="1" x14ac:dyDescent="0.25">
      <c r="A8" s="3">
        <v>6</v>
      </c>
      <c r="B8" s="3" t="s">
        <v>31</v>
      </c>
      <c r="C8" s="3">
        <f>649+870</f>
        <v>1519</v>
      </c>
      <c r="D8" s="3">
        <v>432</v>
      </c>
      <c r="E8" s="3">
        <f>112-28</f>
        <v>84</v>
      </c>
      <c r="F8" s="3">
        <v>28</v>
      </c>
    </row>
    <row r="9" spans="1:6" ht="30.6" customHeight="1" x14ac:dyDescent="0.25">
      <c r="A9" s="42" t="s">
        <v>32</v>
      </c>
      <c r="B9" s="43"/>
      <c r="C9" s="3">
        <f>SUM(C3:C8)</f>
        <v>10969</v>
      </c>
      <c r="D9" s="3">
        <f t="shared" ref="D9:F9" si="0">SUM(D3:D8)</f>
        <v>8327</v>
      </c>
      <c r="E9" s="3">
        <f t="shared" si="0"/>
        <v>6146</v>
      </c>
      <c r="F9" s="3">
        <f t="shared" si="0"/>
        <v>409</v>
      </c>
    </row>
    <row r="10" spans="1:6" ht="46.8" x14ac:dyDescent="0.25">
      <c r="A10" s="5" t="s">
        <v>23</v>
      </c>
      <c r="B10" s="5" t="s">
        <v>23</v>
      </c>
      <c r="C10" s="5" t="s">
        <v>33</v>
      </c>
      <c r="D10" s="5" t="s">
        <v>23</v>
      </c>
      <c r="E10" s="5" t="s">
        <v>23</v>
      </c>
      <c r="F10" s="5" t="s">
        <v>23</v>
      </c>
    </row>
  </sheetData>
  <mergeCells count="2">
    <mergeCell ref="A1:F1"/>
    <mergeCell ref="A9:B9"/>
  </mergeCells>
  <phoneticPr fontId="11" type="noConversion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7"/>
  <dimension ref="A1:F10"/>
  <sheetViews>
    <sheetView workbookViewId="0">
      <selection activeCell="I4" sqref="I4"/>
    </sheetView>
  </sheetViews>
  <sheetFormatPr defaultColWidth="9" defaultRowHeight="14.4" x14ac:dyDescent="0.25"/>
  <cols>
    <col min="1" max="1" width="7.44140625" customWidth="1"/>
    <col min="2" max="2" width="23.88671875" customWidth="1"/>
    <col min="3" max="3" width="25.33203125" customWidth="1"/>
    <col min="4" max="6" width="14.77734375" customWidth="1"/>
  </cols>
  <sheetData>
    <row r="1" spans="1:6" ht="20.399999999999999" x14ac:dyDescent="0.25">
      <c r="A1" s="41" t="s">
        <v>51</v>
      </c>
      <c r="B1" s="41"/>
      <c r="C1" s="41"/>
      <c r="D1" s="41"/>
      <c r="E1" s="41"/>
      <c r="F1" s="41"/>
    </row>
    <row r="2" spans="1:6" ht="29.4" customHeight="1" x14ac:dyDescent="0.25">
      <c r="A2" s="1" t="s">
        <v>0</v>
      </c>
      <c r="B2" s="1" t="s">
        <v>25</v>
      </c>
      <c r="C2" s="1" t="s">
        <v>2</v>
      </c>
      <c r="D2" s="2" t="s">
        <v>3</v>
      </c>
      <c r="E2" s="2" t="s">
        <v>4</v>
      </c>
      <c r="F2" s="2" t="s">
        <v>5</v>
      </c>
    </row>
    <row r="3" spans="1:6" ht="29.4" customHeight="1" x14ac:dyDescent="0.25">
      <c r="A3" s="3">
        <v>1</v>
      </c>
      <c r="B3" s="3" t="s">
        <v>26</v>
      </c>
      <c r="C3" s="3">
        <f>870+1094+1095+1100+1028</f>
        <v>5187</v>
      </c>
      <c r="D3" s="8">
        <f>457+912+1126+1025+449</f>
        <v>3969</v>
      </c>
      <c r="E3" s="8">
        <f>248+413+597+850+348</f>
        <v>2456</v>
      </c>
      <c r="F3" s="6">
        <f>18+50+8</f>
        <v>76</v>
      </c>
    </row>
    <row r="4" spans="1:6" ht="29.4" customHeight="1" x14ac:dyDescent="0.25">
      <c r="A4" s="3">
        <v>2</v>
      </c>
      <c r="B4" s="3" t="s">
        <v>27</v>
      </c>
      <c r="C4" s="3">
        <f>334+520+764+580+320</f>
        <v>2518</v>
      </c>
      <c r="D4" s="3">
        <f>391+834+1058+949+449</f>
        <v>3681</v>
      </c>
      <c r="E4" s="3">
        <f>222+328+552+450+260</f>
        <v>1812</v>
      </c>
      <c r="F4" s="3">
        <v>76</v>
      </c>
    </row>
    <row r="5" spans="1:6" ht="29.4" customHeight="1" x14ac:dyDescent="0.25">
      <c r="A5" s="3">
        <v>3</v>
      </c>
      <c r="B5" s="3" t="s">
        <v>28</v>
      </c>
      <c r="C5" s="3">
        <f>75+9</f>
        <v>84</v>
      </c>
      <c r="D5" s="8">
        <f>36+46+51+51+37</f>
        <v>221</v>
      </c>
      <c r="E5" s="8">
        <f>45+53+57+54+40</f>
        <v>249</v>
      </c>
      <c r="F5" s="3">
        <f>18+21+24+24+22</f>
        <v>109</v>
      </c>
    </row>
    <row r="6" spans="1:6" ht="29.4" customHeight="1" x14ac:dyDescent="0.25">
      <c r="A6" s="3">
        <v>4</v>
      </c>
      <c r="B6" s="3" t="s">
        <v>29</v>
      </c>
      <c r="C6" s="3">
        <v>1811</v>
      </c>
      <c r="D6" s="3">
        <v>1463</v>
      </c>
      <c r="E6" s="3">
        <v>666</v>
      </c>
      <c r="F6" s="3">
        <v>0</v>
      </c>
    </row>
    <row r="7" spans="1:6" ht="29.4" customHeight="1" x14ac:dyDescent="0.25">
      <c r="A7" s="3">
        <v>5</v>
      </c>
      <c r="B7" s="3" t="s">
        <v>30</v>
      </c>
      <c r="C7" s="3">
        <f>1158+2232</f>
        <v>3390</v>
      </c>
      <c r="D7" s="3">
        <f>2861+121</f>
        <v>2982</v>
      </c>
      <c r="E7" s="3">
        <f>109+3733</f>
        <v>3842</v>
      </c>
      <c r="F7" s="3">
        <f>80+295</f>
        <v>375</v>
      </c>
    </row>
    <row r="8" spans="1:6" ht="29.4" customHeight="1" x14ac:dyDescent="0.25">
      <c r="A8" s="3">
        <v>6</v>
      </c>
      <c r="B8" s="3" t="s">
        <v>31</v>
      </c>
      <c r="C8" s="3">
        <v>4573</v>
      </c>
      <c r="D8" s="3">
        <v>328</v>
      </c>
      <c r="E8" s="3">
        <v>78</v>
      </c>
      <c r="F8" s="3">
        <f>138-78</f>
        <v>60</v>
      </c>
    </row>
    <row r="9" spans="1:6" ht="30.6" customHeight="1" x14ac:dyDescent="0.25">
      <c r="A9" s="42" t="s">
        <v>32</v>
      </c>
      <c r="B9" s="43"/>
      <c r="C9" s="3">
        <f>SUM(C3:C8)</f>
        <v>17563</v>
      </c>
      <c r="D9" s="3">
        <f t="shared" ref="D9:F9" si="0">SUM(D3:D8)</f>
        <v>12644</v>
      </c>
      <c r="E9" s="3">
        <f t="shared" si="0"/>
        <v>9103</v>
      </c>
      <c r="F9" s="3">
        <f t="shared" si="0"/>
        <v>696</v>
      </c>
    </row>
    <row r="10" spans="1:6" ht="46.8" x14ac:dyDescent="0.25">
      <c r="A10" s="5" t="s">
        <v>23</v>
      </c>
      <c r="B10" s="5" t="s">
        <v>23</v>
      </c>
      <c r="C10" s="5" t="s">
        <v>33</v>
      </c>
      <c r="D10" s="5" t="s">
        <v>23</v>
      </c>
      <c r="E10" s="5" t="s">
        <v>23</v>
      </c>
      <c r="F10" s="5" t="s">
        <v>23</v>
      </c>
    </row>
  </sheetData>
  <mergeCells count="2">
    <mergeCell ref="A1:F1"/>
    <mergeCell ref="A9:B9"/>
  </mergeCells>
  <phoneticPr fontId="11" type="noConversion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8"/>
  <dimension ref="A1:F10"/>
  <sheetViews>
    <sheetView workbookViewId="0">
      <selection activeCell="I4" sqref="I4"/>
    </sheetView>
  </sheetViews>
  <sheetFormatPr defaultColWidth="9" defaultRowHeight="14.4" x14ac:dyDescent="0.25"/>
  <cols>
    <col min="1" max="1" width="7.44140625" customWidth="1"/>
    <col min="2" max="2" width="23.88671875" customWidth="1"/>
    <col min="3" max="3" width="25.33203125" customWidth="1"/>
    <col min="4" max="6" width="14.77734375" customWidth="1"/>
  </cols>
  <sheetData>
    <row r="1" spans="1:6" ht="20.399999999999999" x14ac:dyDescent="0.25">
      <c r="A1" s="41" t="s">
        <v>52</v>
      </c>
      <c r="B1" s="41"/>
      <c r="C1" s="41"/>
      <c r="D1" s="41"/>
      <c r="E1" s="41"/>
      <c r="F1" s="41"/>
    </row>
    <row r="2" spans="1:6" ht="15.6" x14ac:dyDescent="0.25">
      <c r="A2" s="1" t="s">
        <v>0</v>
      </c>
      <c r="B2" s="1" t="s">
        <v>25</v>
      </c>
      <c r="C2" s="1" t="s">
        <v>2</v>
      </c>
      <c r="D2" s="2" t="s">
        <v>3</v>
      </c>
      <c r="E2" s="2" t="s">
        <v>4</v>
      </c>
      <c r="F2" s="2" t="s">
        <v>5</v>
      </c>
    </row>
    <row r="3" spans="1:6" ht="32.4" customHeight="1" x14ac:dyDescent="0.25">
      <c r="A3" s="3">
        <v>1</v>
      </c>
      <c r="B3" s="3" t="s">
        <v>26</v>
      </c>
      <c r="C3" s="3">
        <f>800+497+784+731</f>
        <v>2812</v>
      </c>
      <c r="D3" s="8">
        <f>590+517+750+687</f>
        <v>2544</v>
      </c>
      <c r="E3" s="8">
        <f>195+223+421+370</f>
        <v>1209</v>
      </c>
      <c r="F3" s="6">
        <f>7+6+16</f>
        <v>29</v>
      </c>
    </row>
    <row r="4" spans="1:6" ht="32.4" customHeight="1" x14ac:dyDescent="0.25">
      <c r="A4" s="3">
        <v>2</v>
      </c>
      <c r="B4" s="3" t="s">
        <v>27</v>
      </c>
      <c r="C4" s="3">
        <f>490+217+571+319</f>
        <v>1597</v>
      </c>
      <c r="D4" s="3">
        <f>531+450+635+621</f>
        <v>2237</v>
      </c>
      <c r="E4" s="3">
        <f>247+218+372+351</f>
        <v>1188</v>
      </c>
      <c r="F4" s="3">
        <f>7+6+16</f>
        <v>29</v>
      </c>
    </row>
    <row r="5" spans="1:6" ht="32.4" customHeight="1" x14ac:dyDescent="0.25">
      <c r="A5" s="3">
        <v>3</v>
      </c>
      <c r="B5" s="3" t="s">
        <v>28</v>
      </c>
      <c r="C5" s="3">
        <f>11+5+11+16</f>
        <v>43</v>
      </c>
      <c r="D5" s="8">
        <f>41+31+33+42</f>
        <v>147</v>
      </c>
      <c r="E5" s="8">
        <f>43+40+41+55</f>
        <v>179</v>
      </c>
      <c r="F5" s="3">
        <f>23+15+16+19</f>
        <v>73</v>
      </c>
    </row>
    <row r="6" spans="1:6" ht="32.4" customHeight="1" x14ac:dyDescent="0.25">
      <c r="A6" s="3">
        <v>4</v>
      </c>
      <c r="B6" s="3" t="s">
        <v>29</v>
      </c>
      <c r="C6" s="3">
        <v>2054</v>
      </c>
      <c r="D6" s="3">
        <v>1876</v>
      </c>
      <c r="E6" s="3">
        <v>635</v>
      </c>
      <c r="F6" s="3">
        <v>0</v>
      </c>
    </row>
    <row r="7" spans="1:6" ht="32.4" customHeight="1" x14ac:dyDescent="0.25">
      <c r="A7" s="3">
        <v>5</v>
      </c>
      <c r="B7" s="3" t="s">
        <v>30</v>
      </c>
      <c r="C7" s="3">
        <f>1840+1114+1181</f>
        <v>4135</v>
      </c>
      <c r="D7" s="3">
        <f>3680+265</f>
        <v>3945</v>
      </c>
      <c r="E7" s="3">
        <f>4521+142</f>
        <v>4663</v>
      </c>
      <c r="F7" s="3">
        <f>365</f>
        <v>365</v>
      </c>
    </row>
    <row r="8" spans="1:6" ht="32.4" customHeight="1" x14ac:dyDescent="0.25">
      <c r="A8" s="3">
        <v>6</v>
      </c>
      <c r="B8" s="3" t="s">
        <v>31</v>
      </c>
      <c r="C8" s="3">
        <f>932+3261</f>
        <v>4193</v>
      </c>
      <c r="D8" s="3">
        <v>284</v>
      </c>
      <c r="E8" s="3">
        <v>64</v>
      </c>
      <c r="F8" s="3">
        <v>18</v>
      </c>
    </row>
    <row r="9" spans="1:6" ht="32.4" customHeight="1" x14ac:dyDescent="0.25">
      <c r="A9" s="42" t="s">
        <v>32</v>
      </c>
      <c r="B9" s="43"/>
      <c r="C9" s="3">
        <f>SUM(C3:C8)</f>
        <v>14834</v>
      </c>
      <c r="D9" s="3">
        <f t="shared" ref="D9:F9" si="0">SUM(D3:D8)</f>
        <v>11033</v>
      </c>
      <c r="E9" s="3">
        <f t="shared" si="0"/>
        <v>7938</v>
      </c>
      <c r="F9" s="3">
        <f t="shared" si="0"/>
        <v>514</v>
      </c>
    </row>
    <row r="10" spans="1:6" ht="46.8" x14ac:dyDescent="0.25">
      <c r="A10" s="5" t="s">
        <v>23</v>
      </c>
      <c r="B10" s="5" t="s">
        <v>23</v>
      </c>
      <c r="C10" s="5" t="s">
        <v>33</v>
      </c>
      <c r="D10" s="5" t="s">
        <v>23</v>
      </c>
      <c r="E10" s="5" t="s">
        <v>23</v>
      </c>
      <c r="F10" s="5" t="s">
        <v>23</v>
      </c>
    </row>
  </sheetData>
  <mergeCells count="2">
    <mergeCell ref="A1:F1"/>
    <mergeCell ref="A9:B9"/>
  </mergeCells>
  <phoneticPr fontId="11" type="noConversion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19"/>
  <dimension ref="A1:F10"/>
  <sheetViews>
    <sheetView workbookViewId="0">
      <selection activeCell="I4" sqref="I4"/>
    </sheetView>
  </sheetViews>
  <sheetFormatPr defaultColWidth="9" defaultRowHeight="14.4" x14ac:dyDescent="0.25"/>
  <cols>
    <col min="1" max="1" width="7.44140625" customWidth="1"/>
    <col min="2" max="2" width="23.88671875" customWidth="1"/>
    <col min="3" max="3" width="25.33203125" customWidth="1"/>
    <col min="4" max="6" width="14.77734375" customWidth="1"/>
  </cols>
  <sheetData>
    <row r="1" spans="1:6" ht="20.399999999999999" x14ac:dyDescent="0.25">
      <c r="A1" s="41" t="s">
        <v>53</v>
      </c>
      <c r="B1" s="41"/>
      <c r="C1" s="41"/>
      <c r="D1" s="41"/>
      <c r="E1" s="41"/>
      <c r="F1" s="41"/>
    </row>
    <row r="2" spans="1:6" ht="15.6" x14ac:dyDescent="0.25">
      <c r="A2" s="1" t="s">
        <v>0</v>
      </c>
      <c r="B2" s="1" t="s">
        <v>25</v>
      </c>
      <c r="C2" s="1" t="s">
        <v>2</v>
      </c>
      <c r="D2" s="2" t="s">
        <v>3</v>
      </c>
      <c r="E2" s="2" t="s">
        <v>4</v>
      </c>
      <c r="F2" s="2" t="s">
        <v>5</v>
      </c>
    </row>
    <row r="3" spans="1:6" ht="37.200000000000003" customHeight="1" x14ac:dyDescent="0.25">
      <c r="A3" s="3">
        <v>1</v>
      </c>
      <c r="B3" s="3" t="s">
        <v>26</v>
      </c>
      <c r="C3" s="3">
        <v>2403</v>
      </c>
      <c r="D3" s="8">
        <v>2428</v>
      </c>
      <c r="E3" s="8">
        <v>1080</v>
      </c>
      <c r="F3" s="6">
        <v>10</v>
      </c>
    </row>
    <row r="4" spans="1:6" ht="37.200000000000003" customHeight="1" x14ac:dyDescent="0.25">
      <c r="A4" s="3">
        <v>2</v>
      </c>
      <c r="B4" s="3" t="s">
        <v>27</v>
      </c>
      <c r="C4" s="3">
        <f>425+81+492+139</f>
        <v>1137</v>
      </c>
      <c r="D4" s="3">
        <f>526+29+48+77</f>
        <v>680</v>
      </c>
      <c r="E4" s="3">
        <f>250+45+32+32</f>
        <v>359</v>
      </c>
      <c r="F4" s="3">
        <v>1</v>
      </c>
    </row>
    <row r="5" spans="1:6" ht="37.200000000000003" customHeight="1" x14ac:dyDescent="0.25">
      <c r="A5" s="3">
        <v>3</v>
      </c>
      <c r="B5" s="3" t="s">
        <v>28</v>
      </c>
      <c r="C5" s="3">
        <v>41</v>
      </c>
      <c r="D5" s="8">
        <v>160</v>
      </c>
      <c r="E5" s="8">
        <v>171</v>
      </c>
      <c r="F5" s="3">
        <v>70</v>
      </c>
    </row>
    <row r="6" spans="1:6" ht="37.200000000000003" customHeight="1" x14ac:dyDescent="0.25">
      <c r="A6" s="3">
        <v>4</v>
      </c>
      <c r="B6" s="3" t="s">
        <v>29</v>
      </c>
      <c r="C6" s="3">
        <v>1771</v>
      </c>
      <c r="D6" s="3">
        <v>1509</v>
      </c>
      <c r="E6" s="3">
        <v>643</v>
      </c>
      <c r="F6" s="3">
        <v>0</v>
      </c>
    </row>
    <row r="7" spans="1:6" ht="37.200000000000003" customHeight="1" x14ac:dyDescent="0.25">
      <c r="A7" s="3">
        <v>5</v>
      </c>
      <c r="B7" s="3" t="s">
        <v>30</v>
      </c>
      <c r="C7" s="3">
        <f>1272+991+1031</f>
        <v>3294</v>
      </c>
      <c r="D7" s="3">
        <f>3363+289</f>
        <v>3652</v>
      </c>
      <c r="E7" s="3">
        <f>108+3024</f>
        <v>3132</v>
      </c>
      <c r="F7" s="3">
        <f>257</f>
        <v>257</v>
      </c>
    </row>
    <row r="8" spans="1:6" ht="37.200000000000003" customHeight="1" x14ac:dyDescent="0.25">
      <c r="A8" s="3">
        <v>6</v>
      </c>
      <c r="B8" s="3" t="s">
        <v>31</v>
      </c>
      <c r="C8" s="3">
        <f>723+2693</f>
        <v>3416</v>
      </c>
      <c r="D8" s="3">
        <v>231</v>
      </c>
      <c r="E8" s="3">
        <v>152</v>
      </c>
      <c r="F8" s="3">
        <v>16</v>
      </c>
    </row>
    <row r="9" spans="1:6" ht="37.200000000000003" customHeight="1" x14ac:dyDescent="0.25">
      <c r="A9" s="42" t="s">
        <v>32</v>
      </c>
      <c r="B9" s="43"/>
      <c r="C9" s="3">
        <f>SUM(C3:C8)</f>
        <v>12062</v>
      </c>
      <c r="D9" s="3">
        <f t="shared" ref="D9:F9" si="0">SUM(D3:D8)</f>
        <v>8660</v>
      </c>
      <c r="E9" s="3">
        <f t="shared" si="0"/>
        <v>5537</v>
      </c>
      <c r="F9" s="3">
        <f t="shared" si="0"/>
        <v>354</v>
      </c>
    </row>
    <row r="10" spans="1:6" ht="46.8" x14ac:dyDescent="0.25">
      <c r="A10" s="5" t="s">
        <v>23</v>
      </c>
      <c r="B10" s="5" t="s">
        <v>23</v>
      </c>
      <c r="C10" s="5" t="s">
        <v>33</v>
      </c>
      <c r="D10" s="5" t="s">
        <v>23</v>
      </c>
      <c r="E10" s="5" t="s">
        <v>23</v>
      </c>
      <c r="F10" s="5" t="s">
        <v>23</v>
      </c>
    </row>
  </sheetData>
  <mergeCells count="2">
    <mergeCell ref="A1:F1"/>
    <mergeCell ref="A9:B9"/>
  </mergeCells>
  <phoneticPr fontId="11" type="noConversion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0"/>
  <dimension ref="A1:F10"/>
  <sheetViews>
    <sheetView workbookViewId="0">
      <selection activeCell="I4" sqref="I4"/>
    </sheetView>
  </sheetViews>
  <sheetFormatPr defaultColWidth="9" defaultRowHeight="14.4" x14ac:dyDescent="0.25"/>
  <cols>
    <col min="1" max="1" width="7.44140625" customWidth="1"/>
    <col min="2" max="2" width="23.88671875" customWidth="1"/>
    <col min="3" max="3" width="25.33203125" customWidth="1"/>
    <col min="4" max="6" width="14.77734375" customWidth="1"/>
  </cols>
  <sheetData>
    <row r="1" spans="1:6" ht="25.2" customHeight="1" x14ac:dyDescent="0.25">
      <c r="A1" s="41" t="s">
        <v>54</v>
      </c>
      <c r="B1" s="41"/>
      <c r="C1" s="41"/>
      <c r="D1" s="41"/>
      <c r="E1" s="41"/>
      <c r="F1" s="41"/>
    </row>
    <row r="2" spans="1:6" ht="15.6" x14ac:dyDescent="0.25">
      <c r="A2" s="1" t="s">
        <v>0</v>
      </c>
      <c r="B2" s="1" t="s">
        <v>25</v>
      </c>
      <c r="C2" s="1" t="s">
        <v>2</v>
      </c>
      <c r="D2" s="2" t="s">
        <v>3</v>
      </c>
      <c r="E2" s="2" t="s">
        <v>4</v>
      </c>
      <c r="F2" s="2" t="s">
        <v>5</v>
      </c>
    </row>
    <row r="3" spans="1:6" ht="31.8" customHeight="1" x14ac:dyDescent="0.25">
      <c r="A3" s="3">
        <v>1</v>
      </c>
      <c r="B3" s="3" t="s">
        <v>26</v>
      </c>
      <c r="C3" s="3">
        <v>2717</v>
      </c>
      <c r="D3" s="8">
        <v>1120</v>
      </c>
      <c r="E3" s="8">
        <v>670</v>
      </c>
      <c r="F3" s="6">
        <v>24</v>
      </c>
    </row>
    <row r="4" spans="1:6" ht="31.8" customHeight="1" x14ac:dyDescent="0.25">
      <c r="A4" s="3">
        <v>2</v>
      </c>
      <c r="B4" s="3" t="s">
        <v>27</v>
      </c>
      <c r="C4" s="3">
        <v>628</v>
      </c>
      <c r="D4" s="3">
        <v>140</v>
      </c>
      <c r="E4" s="3">
        <v>120</v>
      </c>
      <c r="F4" s="3">
        <v>0</v>
      </c>
    </row>
    <row r="5" spans="1:6" ht="31.8" customHeight="1" x14ac:dyDescent="0.25">
      <c r="A5" s="3">
        <v>3</v>
      </c>
      <c r="B5" s="3" t="s">
        <v>28</v>
      </c>
      <c r="C5" s="3">
        <v>38</v>
      </c>
      <c r="D5" s="8">
        <v>148</v>
      </c>
      <c r="E5" s="8">
        <v>143</v>
      </c>
      <c r="F5" s="3">
        <v>61</v>
      </c>
    </row>
    <row r="6" spans="1:6" ht="31.8" customHeight="1" x14ac:dyDescent="0.25">
      <c r="A6" s="3">
        <v>4</v>
      </c>
      <c r="B6" s="3" t="s">
        <v>29</v>
      </c>
      <c r="C6" s="3">
        <v>1047</v>
      </c>
      <c r="D6" s="3">
        <v>1368</v>
      </c>
      <c r="E6" s="3">
        <v>636</v>
      </c>
      <c r="F6" s="3">
        <v>0</v>
      </c>
    </row>
    <row r="7" spans="1:6" ht="31.8" customHeight="1" x14ac:dyDescent="0.25">
      <c r="A7" s="3">
        <v>5</v>
      </c>
      <c r="B7" s="3" t="s">
        <v>30</v>
      </c>
      <c r="C7" s="3">
        <f>860+1127+1401</f>
        <v>3388</v>
      </c>
      <c r="D7" s="3">
        <f>356+3682</f>
        <v>4038</v>
      </c>
      <c r="E7" s="3">
        <f>20+2587</f>
        <v>2607</v>
      </c>
      <c r="F7" s="3">
        <v>452</v>
      </c>
    </row>
    <row r="8" spans="1:6" ht="31.8" customHeight="1" x14ac:dyDescent="0.25">
      <c r="A8" s="3">
        <v>6</v>
      </c>
      <c r="B8" s="3" t="s">
        <v>31</v>
      </c>
      <c r="C8" s="3">
        <v>3591</v>
      </c>
      <c r="D8" s="3">
        <v>312</v>
      </c>
      <c r="E8" s="3">
        <v>63</v>
      </c>
      <c r="F8" s="3">
        <v>44</v>
      </c>
    </row>
    <row r="9" spans="1:6" ht="31.8" customHeight="1" x14ac:dyDescent="0.25">
      <c r="A9" s="42" t="s">
        <v>32</v>
      </c>
      <c r="B9" s="43"/>
      <c r="C9" s="3">
        <f>SUM(C3:C8)</f>
        <v>11409</v>
      </c>
      <c r="D9" s="3">
        <f t="shared" ref="D9:F9" si="0">SUM(D3:D8)</f>
        <v>7126</v>
      </c>
      <c r="E9" s="3">
        <f t="shared" si="0"/>
        <v>4239</v>
      </c>
      <c r="F9" s="3">
        <f t="shared" si="0"/>
        <v>581</v>
      </c>
    </row>
    <row r="10" spans="1:6" ht="46.8" x14ac:dyDescent="0.25">
      <c r="A10" s="5" t="s">
        <v>23</v>
      </c>
      <c r="B10" s="5" t="s">
        <v>23</v>
      </c>
      <c r="C10" s="5" t="s">
        <v>33</v>
      </c>
      <c r="D10" s="5" t="s">
        <v>23</v>
      </c>
      <c r="E10" s="5" t="s">
        <v>23</v>
      </c>
      <c r="F10" s="5" t="s">
        <v>23</v>
      </c>
    </row>
  </sheetData>
  <mergeCells count="2">
    <mergeCell ref="A1:F1"/>
    <mergeCell ref="A9:B9"/>
  </mergeCells>
  <phoneticPr fontId="11" type="noConversion"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1"/>
  <dimension ref="A1:F10"/>
  <sheetViews>
    <sheetView workbookViewId="0">
      <selection activeCell="I4" sqref="I4"/>
    </sheetView>
  </sheetViews>
  <sheetFormatPr defaultColWidth="9" defaultRowHeight="14.4" x14ac:dyDescent="0.25"/>
  <cols>
    <col min="1" max="1" width="7.44140625" customWidth="1"/>
    <col min="2" max="2" width="23.88671875" customWidth="1"/>
    <col min="3" max="3" width="25.33203125" customWidth="1"/>
    <col min="4" max="6" width="14.77734375" customWidth="1"/>
  </cols>
  <sheetData>
    <row r="1" spans="1:6" ht="25.2" customHeight="1" x14ac:dyDescent="0.25">
      <c r="A1" s="41" t="s">
        <v>55</v>
      </c>
      <c r="B1" s="41"/>
      <c r="C1" s="41"/>
      <c r="D1" s="41"/>
      <c r="E1" s="41"/>
      <c r="F1" s="41"/>
    </row>
    <row r="2" spans="1:6" ht="15.6" x14ac:dyDescent="0.25">
      <c r="A2" s="1" t="s">
        <v>0</v>
      </c>
      <c r="B2" s="1" t="s">
        <v>25</v>
      </c>
      <c r="C2" s="1" t="s">
        <v>2</v>
      </c>
      <c r="D2" s="2" t="s">
        <v>3</v>
      </c>
      <c r="E2" s="2" t="s">
        <v>4</v>
      </c>
      <c r="F2" s="2" t="s">
        <v>5</v>
      </c>
    </row>
    <row r="3" spans="1:6" ht="31.8" customHeight="1" x14ac:dyDescent="0.25">
      <c r="A3" s="3">
        <v>1</v>
      </c>
      <c r="B3" s="3" t="s">
        <v>26</v>
      </c>
      <c r="C3" s="3">
        <f>1573+3495</f>
        <v>5068</v>
      </c>
      <c r="D3" s="8">
        <f>1083+591</f>
        <v>1674</v>
      </c>
      <c r="E3" s="8">
        <f>534+346</f>
        <v>880</v>
      </c>
      <c r="F3" s="6">
        <v>0</v>
      </c>
    </row>
    <row r="4" spans="1:6" ht="31.8" customHeight="1" x14ac:dyDescent="0.25">
      <c r="A4" s="3">
        <v>2</v>
      </c>
      <c r="B4" s="3" t="s">
        <v>27</v>
      </c>
      <c r="C4" s="3">
        <v>803</v>
      </c>
      <c r="D4" s="3">
        <v>150</v>
      </c>
      <c r="E4" s="3">
        <v>176</v>
      </c>
      <c r="F4" s="3">
        <v>0</v>
      </c>
    </row>
    <row r="5" spans="1:6" ht="31.8" customHeight="1" x14ac:dyDescent="0.25">
      <c r="A5" s="3">
        <v>3</v>
      </c>
      <c r="B5" s="3" t="s">
        <v>28</v>
      </c>
      <c r="C5" s="3">
        <v>84</v>
      </c>
      <c r="D5" s="8">
        <v>227</v>
      </c>
      <c r="E5" s="8">
        <v>225</v>
      </c>
      <c r="F5" s="3">
        <v>90</v>
      </c>
    </row>
    <row r="6" spans="1:6" ht="31.8" customHeight="1" x14ac:dyDescent="0.25">
      <c r="A6" s="3">
        <v>4</v>
      </c>
      <c r="B6" s="3" t="s">
        <v>29</v>
      </c>
      <c r="C6" s="3">
        <v>1533</v>
      </c>
      <c r="D6" s="3">
        <v>1793</v>
      </c>
      <c r="E6" s="3">
        <v>706</v>
      </c>
      <c r="F6" s="3">
        <v>0</v>
      </c>
    </row>
    <row r="7" spans="1:6" ht="31.8" customHeight="1" x14ac:dyDescent="0.25">
      <c r="A7" s="3">
        <v>5</v>
      </c>
      <c r="B7" s="3" t="s">
        <v>30</v>
      </c>
      <c r="C7" s="3">
        <f>969+1781+2702</f>
        <v>5452</v>
      </c>
      <c r="D7" s="3">
        <f>245+4021</f>
        <v>4266</v>
      </c>
      <c r="E7" s="3">
        <f>39+3563</f>
        <v>3602</v>
      </c>
      <c r="F7" s="3">
        <f>1178</f>
        <v>1178</v>
      </c>
    </row>
    <row r="8" spans="1:6" ht="31.8" customHeight="1" x14ac:dyDescent="0.25">
      <c r="A8" s="3">
        <v>6</v>
      </c>
      <c r="B8" s="3" t="s">
        <v>31</v>
      </c>
      <c r="C8" s="3">
        <f>943+2165</f>
        <v>3108</v>
      </c>
      <c r="D8" s="3">
        <v>346</v>
      </c>
      <c r="E8" s="3">
        <v>50</v>
      </c>
      <c r="F8" s="3">
        <v>0</v>
      </c>
    </row>
    <row r="9" spans="1:6" ht="31.8" customHeight="1" x14ac:dyDescent="0.25">
      <c r="A9" s="42" t="s">
        <v>32</v>
      </c>
      <c r="B9" s="43"/>
      <c r="C9" s="3">
        <f>SUM(C3:C8)</f>
        <v>16048</v>
      </c>
      <c r="D9" s="3">
        <f t="shared" ref="D9:F9" si="0">SUM(D3:D8)</f>
        <v>8456</v>
      </c>
      <c r="E9" s="3">
        <f t="shared" si="0"/>
        <v>5639</v>
      </c>
      <c r="F9" s="3">
        <f t="shared" si="0"/>
        <v>1268</v>
      </c>
    </row>
    <row r="10" spans="1:6" ht="46.8" x14ac:dyDescent="0.25">
      <c r="A10" s="5" t="s">
        <v>23</v>
      </c>
      <c r="B10" s="5" t="s">
        <v>23</v>
      </c>
      <c r="C10" s="5" t="s">
        <v>33</v>
      </c>
      <c r="D10" s="5" t="s">
        <v>23</v>
      </c>
      <c r="E10" s="5" t="s">
        <v>23</v>
      </c>
      <c r="F10" s="5" t="s">
        <v>23</v>
      </c>
    </row>
  </sheetData>
  <mergeCells count="2">
    <mergeCell ref="A1:F1"/>
    <mergeCell ref="A9:B9"/>
  </mergeCells>
  <phoneticPr fontId="11" type="noConversion"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2"/>
  <dimension ref="A1:F10"/>
  <sheetViews>
    <sheetView workbookViewId="0">
      <selection activeCell="I4" sqref="I4"/>
    </sheetView>
  </sheetViews>
  <sheetFormatPr defaultColWidth="9" defaultRowHeight="14.4" x14ac:dyDescent="0.25"/>
  <cols>
    <col min="1" max="1" width="7.44140625" customWidth="1"/>
    <col min="2" max="2" width="23.88671875" customWidth="1"/>
    <col min="3" max="3" width="25.33203125" customWidth="1"/>
    <col min="4" max="6" width="14.77734375" customWidth="1"/>
  </cols>
  <sheetData>
    <row r="1" spans="1:6" ht="20.399999999999999" x14ac:dyDescent="0.25">
      <c r="A1" s="41" t="s">
        <v>56</v>
      </c>
      <c r="B1" s="41"/>
      <c r="C1" s="41"/>
      <c r="D1" s="41"/>
      <c r="E1" s="41"/>
      <c r="F1" s="41"/>
    </row>
    <row r="2" spans="1:6" ht="26.4" customHeight="1" x14ac:dyDescent="0.25">
      <c r="A2" s="1" t="s">
        <v>0</v>
      </c>
      <c r="B2" s="1" t="s">
        <v>25</v>
      </c>
      <c r="C2" s="1" t="s">
        <v>2</v>
      </c>
      <c r="D2" s="2" t="s">
        <v>3</v>
      </c>
      <c r="E2" s="2" t="s">
        <v>4</v>
      </c>
      <c r="F2" s="2" t="s">
        <v>5</v>
      </c>
    </row>
    <row r="3" spans="1:6" ht="26.4" customHeight="1" x14ac:dyDescent="0.25">
      <c r="A3" s="3">
        <v>1</v>
      </c>
      <c r="B3" s="3" t="s">
        <v>26</v>
      </c>
      <c r="C3" s="3">
        <f>3036+1366</f>
        <v>4402</v>
      </c>
      <c r="D3" s="8">
        <f>600+944</f>
        <v>1544</v>
      </c>
      <c r="E3" s="8">
        <f>365+171</f>
        <v>536</v>
      </c>
      <c r="F3" s="6">
        <f>0+7</f>
        <v>7</v>
      </c>
    </row>
    <row r="4" spans="1:6" ht="26.4" customHeight="1" x14ac:dyDescent="0.25">
      <c r="A4" s="3">
        <v>2</v>
      </c>
      <c r="B4" s="3" t="s">
        <v>27</v>
      </c>
      <c r="C4" s="3">
        <v>805</v>
      </c>
      <c r="D4" s="3">
        <v>110</v>
      </c>
      <c r="E4" s="3">
        <v>118</v>
      </c>
      <c r="F4" s="3">
        <v>0</v>
      </c>
    </row>
    <row r="5" spans="1:6" ht="26.4" customHeight="1" x14ac:dyDescent="0.25">
      <c r="A5" s="3">
        <v>3</v>
      </c>
      <c r="B5" s="3" t="s">
        <v>28</v>
      </c>
      <c r="C5" s="3">
        <v>99</v>
      </c>
      <c r="D5" s="8">
        <v>185</v>
      </c>
      <c r="E5" s="8">
        <v>191</v>
      </c>
      <c r="F5" s="3">
        <v>103</v>
      </c>
    </row>
    <row r="6" spans="1:6" ht="26.4" customHeight="1" x14ac:dyDescent="0.25">
      <c r="A6" s="3">
        <v>4</v>
      </c>
      <c r="B6" s="3" t="s">
        <v>29</v>
      </c>
      <c r="C6" s="3">
        <f>1622</f>
        <v>1622</v>
      </c>
      <c r="D6" s="3">
        <v>1826</v>
      </c>
      <c r="E6" s="3">
        <v>552</v>
      </c>
      <c r="F6" s="3">
        <v>0</v>
      </c>
    </row>
    <row r="7" spans="1:6" ht="26.4" customHeight="1" x14ac:dyDescent="0.25">
      <c r="A7" s="3">
        <v>5</v>
      </c>
      <c r="B7" s="3" t="s">
        <v>30</v>
      </c>
      <c r="C7" s="3">
        <f>877+1109+2269</f>
        <v>4255</v>
      </c>
      <c r="D7" s="3">
        <f>251+3042</f>
        <v>3293</v>
      </c>
      <c r="E7" s="3">
        <f>43+3012</f>
        <v>3055</v>
      </c>
      <c r="F7" s="3">
        <v>1008</v>
      </c>
    </row>
    <row r="8" spans="1:6" ht="26.4" customHeight="1" x14ac:dyDescent="0.25">
      <c r="A8" s="3">
        <v>6</v>
      </c>
      <c r="B8" s="3" t="s">
        <v>31</v>
      </c>
      <c r="C8" s="3">
        <f>694+3155+2</f>
        <v>3851</v>
      </c>
      <c r="D8" s="3">
        <v>411</v>
      </c>
      <c r="E8" s="3">
        <v>0</v>
      </c>
      <c r="F8" s="3">
        <v>0</v>
      </c>
    </row>
    <row r="9" spans="1:6" ht="26.4" customHeight="1" x14ac:dyDescent="0.25">
      <c r="A9" s="42" t="s">
        <v>32</v>
      </c>
      <c r="B9" s="43"/>
      <c r="C9" s="3">
        <f>SUM(C3:C8)</f>
        <v>15034</v>
      </c>
      <c r="D9" s="3">
        <f t="shared" ref="D9:F9" si="0">SUM(D3:D8)</f>
        <v>7369</v>
      </c>
      <c r="E9" s="3">
        <f t="shared" si="0"/>
        <v>4452</v>
      </c>
      <c r="F9" s="3">
        <f t="shared" si="0"/>
        <v>1118</v>
      </c>
    </row>
    <row r="10" spans="1:6" ht="46.8" x14ac:dyDescent="0.25">
      <c r="A10" s="5" t="s">
        <v>23</v>
      </c>
      <c r="B10" s="5" t="s">
        <v>23</v>
      </c>
      <c r="C10" s="5" t="s">
        <v>33</v>
      </c>
      <c r="D10" s="5" t="s">
        <v>23</v>
      </c>
      <c r="E10" s="5" t="s">
        <v>23</v>
      </c>
      <c r="F10" s="5" t="s">
        <v>23</v>
      </c>
    </row>
  </sheetData>
  <mergeCells count="2">
    <mergeCell ref="A1:F1"/>
    <mergeCell ref="A9:B9"/>
  </mergeCells>
  <phoneticPr fontId="11" type="noConversion"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3"/>
  <dimension ref="A1:F10"/>
  <sheetViews>
    <sheetView workbookViewId="0">
      <selection activeCell="I4" sqref="I4"/>
    </sheetView>
  </sheetViews>
  <sheetFormatPr defaultColWidth="9" defaultRowHeight="14.4" x14ac:dyDescent="0.25"/>
  <cols>
    <col min="1" max="1" width="7.44140625" customWidth="1"/>
    <col min="2" max="2" width="23.88671875" customWidth="1"/>
    <col min="3" max="3" width="25.33203125" customWidth="1"/>
    <col min="4" max="6" width="14.77734375" customWidth="1"/>
  </cols>
  <sheetData>
    <row r="1" spans="1:6" ht="20.399999999999999" x14ac:dyDescent="0.25">
      <c r="A1" s="41" t="s">
        <v>57</v>
      </c>
      <c r="B1" s="41"/>
      <c r="C1" s="41"/>
      <c r="D1" s="41"/>
      <c r="E1" s="41"/>
      <c r="F1" s="41"/>
    </row>
    <row r="2" spans="1:6" ht="15.6" x14ac:dyDescent="0.25">
      <c r="A2" s="1" t="s">
        <v>0</v>
      </c>
      <c r="B2" s="1" t="s">
        <v>25</v>
      </c>
      <c r="C2" s="1" t="s">
        <v>2</v>
      </c>
      <c r="D2" s="2" t="s">
        <v>3</v>
      </c>
      <c r="E2" s="2" t="s">
        <v>4</v>
      </c>
      <c r="F2" s="2" t="s">
        <v>5</v>
      </c>
    </row>
    <row r="3" spans="1:6" ht="24.6" customHeight="1" x14ac:dyDescent="0.25">
      <c r="A3" s="3">
        <v>1</v>
      </c>
      <c r="B3" s="3" t="s">
        <v>26</v>
      </c>
      <c r="C3" s="3">
        <f>1310+3247</f>
        <v>4557</v>
      </c>
      <c r="D3" s="8">
        <f>1138+812</f>
        <v>1950</v>
      </c>
      <c r="E3" s="8">
        <f>618+452</f>
        <v>1070</v>
      </c>
      <c r="F3" s="6">
        <v>0</v>
      </c>
    </row>
    <row r="4" spans="1:6" ht="24.6" customHeight="1" x14ac:dyDescent="0.25">
      <c r="A4" s="3">
        <v>2</v>
      </c>
      <c r="B4" s="3" t="s">
        <v>27</v>
      </c>
      <c r="C4" s="3">
        <v>1176</v>
      </c>
      <c r="D4" s="3">
        <v>105</v>
      </c>
      <c r="E4" s="3">
        <v>98</v>
      </c>
      <c r="F4" s="3">
        <v>0</v>
      </c>
    </row>
    <row r="5" spans="1:6" ht="24.6" customHeight="1" x14ac:dyDescent="0.25">
      <c r="A5" s="3">
        <v>3</v>
      </c>
      <c r="B5" s="3" t="s">
        <v>28</v>
      </c>
      <c r="C5" s="3">
        <f>150</f>
        <v>150</v>
      </c>
      <c r="D5" s="8">
        <v>217</v>
      </c>
      <c r="E5" s="8">
        <v>212</v>
      </c>
      <c r="F5" s="3">
        <v>81</v>
      </c>
    </row>
    <row r="6" spans="1:6" ht="24.6" customHeight="1" x14ac:dyDescent="0.25">
      <c r="A6" s="3">
        <v>4</v>
      </c>
      <c r="B6" s="3" t="s">
        <v>29</v>
      </c>
      <c r="C6" s="3">
        <v>1644</v>
      </c>
      <c r="D6" s="3">
        <v>1783</v>
      </c>
      <c r="E6" s="3">
        <v>561</v>
      </c>
      <c r="F6" s="3">
        <v>0</v>
      </c>
    </row>
    <row r="7" spans="1:6" ht="24.6" customHeight="1" x14ac:dyDescent="0.25">
      <c r="A7" s="3">
        <v>5</v>
      </c>
      <c r="B7" s="3" t="s">
        <v>30</v>
      </c>
      <c r="C7" s="3">
        <f>932+2741+804</f>
        <v>4477</v>
      </c>
      <c r="D7" s="3">
        <v>2610</v>
      </c>
      <c r="E7" s="3">
        <v>2938</v>
      </c>
      <c r="F7" s="3">
        <v>1373</v>
      </c>
    </row>
    <row r="8" spans="1:6" ht="24.6" customHeight="1" x14ac:dyDescent="0.25">
      <c r="A8" s="3">
        <v>6</v>
      </c>
      <c r="B8" s="3" t="s">
        <v>31</v>
      </c>
      <c r="C8" s="3">
        <v>3982</v>
      </c>
      <c r="D8" s="3">
        <v>429</v>
      </c>
      <c r="E8" s="3">
        <v>88</v>
      </c>
      <c r="F8" s="3">
        <v>0</v>
      </c>
    </row>
    <row r="9" spans="1:6" ht="24.6" customHeight="1" x14ac:dyDescent="0.25">
      <c r="A9" s="42" t="s">
        <v>32</v>
      </c>
      <c r="B9" s="43"/>
      <c r="C9" s="3">
        <f>SUM(C3:C8)</f>
        <v>15986</v>
      </c>
      <c r="D9" s="3">
        <f t="shared" ref="D9:F9" si="0">SUM(D3:D8)</f>
        <v>7094</v>
      </c>
      <c r="E9" s="3">
        <f t="shared" si="0"/>
        <v>4967</v>
      </c>
      <c r="F9" s="3">
        <f t="shared" si="0"/>
        <v>1454</v>
      </c>
    </row>
    <row r="10" spans="1:6" ht="46.8" x14ac:dyDescent="0.25">
      <c r="A10" s="5" t="s">
        <v>23</v>
      </c>
      <c r="B10" s="5" t="s">
        <v>23</v>
      </c>
      <c r="C10" s="5" t="s">
        <v>33</v>
      </c>
      <c r="D10" s="5" t="s">
        <v>23</v>
      </c>
      <c r="E10" s="5" t="s">
        <v>23</v>
      </c>
      <c r="F10" s="5" t="s">
        <v>23</v>
      </c>
    </row>
  </sheetData>
  <mergeCells count="2">
    <mergeCell ref="A1:F1"/>
    <mergeCell ref="A9:B9"/>
  </mergeCells>
  <phoneticPr fontId="11" type="noConversion"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4"/>
  <dimension ref="A1:F10"/>
  <sheetViews>
    <sheetView workbookViewId="0">
      <selection activeCell="I4" sqref="I4"/>
    </sheetView>
  </sheetViews>
  <sheetFormatPr defaultColWidth="9" defaultRowHeight="14.4" x14ac:dyDescent="0.25"/>
  <cols>
    <col min="1" max="1" width="7.44140625" customWidth="1"/>
    <col min="2" max="2" width="23.88671875" customWidth="1"/>
    <col min="3" max="3" width="25.33203125" customWidth="1"/>
    <col min="4" max="6" width="14.77734375" customWidth="1"/>
  </cols>
  <sheetData>
    <row r="1" spans="1:6" ht="20.399999999999999" x14ac:dyDescent="0.25">
      <c r="A1" s="41" t="s">
        <v>58</v>
      </c>
      <c r="B1" s="41"/>
      <c r="C1" s="41"/>
      <c r="D1" s="41"/>
      <c r="E1" s="41"/>
      <c r="F1" s="41"/>
    </row>
    <row r="2" spans="1:6" ht="15.6" x14ac:dyDescent="0.25">
      <c r="A2" s="1" t="s">
        <v>0</v>
      </c>
      <c r="B2" s="1" t="s">
        <v>25</v>
      </c>
      <c r="C2" s="1" t="s">
        <v>2</v>
      </c>
      <c r="D2" s="2" t="s">
        <v>3</v>
      </c>
      <c r="E2" s="2" t="s">
        <v>4</v>
      </c>
      <c r="F2" s="2" t="s">
        <v>5</v>
      </c>
    </row>
    <row r="3" spans="1:6" ht="24.6" customHeight="1" x14ac:dyDescent="0.25">
      <c r="A3" s="3">
        <v>1</v>
      </c>
      <c r="B3" s="3" t="s">
        <v>26</v>
      </c>
      <c r="C3" s="3">
        <f>1244+4318</f>
        <v>5562</v>
      </c>
      <c r="D3" s="8">
        <f>1268+797</f>
        <v>2065</v>
      </c>
      <c r="E3" s="8">
        <f>618+671</f>
        <v>1289</v>
      </c>
      <c r="F3" s="6">
        <v>0</v>
      </c>
    </row>
    <row r="4" spans="1:6" ht="24.6" customHeight="1" x14ac:dyDescent="0.25">
      <c r="A4" s="3">
        <v>2</v>
      </c>
      <c r="B4" s="3" t="s">
        <v>27</v>
      </c>
      <c r="C4" s="3">
        <v>1017</v>
      </c>
      <c r="D4" s="3">
        <v>544</v>
      </c>
      <c r="E4" s="3">
        <v>264</v>
      </c>
      <c r="F4" s="3">
        <v>0</v>
      </c>
    </row>
    <row r="5" spans="1:6" ht="24.6" customHeight="1" x14ac:dyDescent="0.25">
      <c r="A5" s="3">
        <v>3</v>
      </c>
      <c r="B5" s="3" t="s">
        <v>28</v>
      </c>
      <c r="C5" s="3">
        <v>188</v>
      </c>
      <c r="D5" s="8">
        <v>286</v>
      </c>
      <c r="E5" s="8">
        <v>249</v>
      </c>
      <c r="F5" s="3">
        <v>107</v>
      </c>
    </row>
    <row r="6" spans="1:6" ht="24.6" customHeight="1" x14ac:dyDescent="0.25">
      <c r="A6" s="3">
        <v>4</v>
      </c>
      <c r="B6" s="3" t="s">
        <v>29</v>
      </c>
      <c r="C6" s="3">
        <v>1532</v>
      </c>
      <c r="D6" s="3">
        <v>1637</v>
      </c>
      <c r="E6" s="3">
        <v>558</v>
      </c>
      <c r="F6" s="3">
        <v>0</v>
      </c>
    </row>
    <row r="7" spans="1:6" ht="24.6" customHeight="1" x14ac:dyDescent="0.25">
      <c r="A7" s="3">
        <v>5</v>
      </c>
      <c r="B7" s="3" t="s">
        <v>30</v>
      </c>
      <c r="C7" s="3">
        <f>969+2410</f>
        <v>3379</v>
      </c>
      <c r="D7" s="3">
        <f>3933</f>
        <v>3933</v>
      </c>
      <c r="E7" s="3">
        <f>3085</f>
        <v>3085</v>
      </c>
      <c r="F7" s="3">
        <f>1573</f>
        <v>1573</v>
      </c>
    </row>
    <row r="8" spans="1:6" ht="24.6" customHeight="1" x14ac:dyDescent="0.25">
      <c r="A8" s="3">
        <v>6</v>
      </c>
      <c r="B8" s="3" t="s">
        <v>31</v>
      </c>
      <c r="C8" s="3">
        <f>631+2283</f>
        <v>2914</v>
      </c>
      <c r="D8" s="3">
        <v>548</v>
      </c>
      <c r="E8" s="3">
        <v>103</v>
      </c>
      <c r="F8" s="3">
        <v>0</v>
      </c>
    </row>
    <row r="9" spans="1:6" ht="24.6" customHeight="1" x14ac:dyDescent="0.25">
      <c r="A9" s="42" t="s">
        <v>32</v>
      </c>
      <c r="B9" s="43"/>
      <c r="C9" s="3">
        <f t="shared" ref="C9:F9" si="0">SUM(C3:C8)</f>
        <v>14592</v>
      </c>
      <c r="D9" s="3">
        <f t="shared" si="0"/>
        <v>9013</v>
      </c>
      <c r="E9" s="3">
        <f t="shared" si="0"/>
        <v>5548</v>
      </c>
      <c r="F9" s="3">
        <f t="shared" si="0"/>
        <v>1680</v>
      </c>
    </row>
    <row r="10" spans="1:6" ht="46.8" x14ac:dyDescent="0.25">
      <c r="A10" s="5" t="s">
        <v>23</v>
      </c>
      <c r="B10" s="5" t="s">
        <v>23</v>
      </c>
      <c r="C10" s="5" t="s">
        <v>33</v>
      </c>
      <c r="D10" s="5" t="s">
        <v>23</v>
      </c>
      <c r="E10" s="5" t="s">
        <v>23</v>
      </c>
      <c r="F10" s="5" t="s">
        <v>23</v>
      </c>
    </row>
  </sheetData>
  <mergeCells count="2">
    <mergeCell ref="A1:F1"/>
    <mergeCell ref="A9:B9"/>
  </mergeCells>
  <phoneticPr fontId="11" type="noConversion"/>
  <pageMargins left="0.75" right="0.75" top="1" bottom="1" header="0.5" footer="0.5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5"/>
  <dimension ref="A1:F10"/>
  <sheetViews>
    <sheetView workbookViewId="0">
      <selection activeCell="I4" sqref="I4"/>
    </sheetView>
  </sheetViews>
  <sheetFormatPr defaultColWidth="9" defaultRowHeight="14.4" x14ac:dyDescent="0.25"/>
  <cols>
    <col min="1" max="1" width="7.44140625" customWidth="1"/>
    <col min="2" max="2" width="23.88671875" customWidth="1"/>
    <col min="3" max="3" width="25.33203125" customWidth="1"/>
    <col min="4" max="6" width="14.77734375" customWidth="1"/>
  </cols>
  <sheetData>
    <row r="1" spans="1:6" ht="20.399999999999999" x14ac:dyDescent="0.25">
      <c r="A1" s="41" t="s">
        <v>59</v>
      </c>
      <c r="B1" s="41"/>
      <c r="C1" s="41"/>
      <c r="D1" s="41"/>
      <c r="E1" s="41"/>
      <c r="F1" s="41"/>
    </row>
    <row r="2" spans="1:6" ht="15.6" x14ac:dyDescent="0.25">
      <c r="A2" s="1" t="s">
        <v>0</v>
      </c>
      <c r="B2" s="1" t="s">
        <v>25</v>
      </c>
      <c r="C2" s="1" t="s">
        <v>2</v>
      </c>
      <c r="D2" s="2" t="s">
        <v>3</v>
      </c>
      <c r="E2" s="2" t="s">
        <v>4</v>
      </c>
      <c r="F2" s="2" t="s">
        <v>5</v>
      </c>
    </row>
    <row r="3" spans="1:6" ht="24.6" customHeight="1" x14ac:dyDescent="0.25">
      <c r="A3" s="3">
        <v>1</v>
      </c>
      <c r="B3" s="3" t="s">
        <v>26</v>
      </c>
      <c r="C3" s="3">
        <f>2787+1200</f>
        <v>3987</v>
      </c>
      <c r="D3" s="8">
        <f>663+1688+1126</f>
        <v>3477</v>
      </c>
      <c r="E3" s="8">
        <f>312+147+528</f>
        <v>987</v>
      </c>
      <c r="F3" s="6">
        <v>42</v>
      </c>
    </row>
    <row r="4" spans="1:6" ht="24.6" customHeight="1" x14ac:dyDescent="0.25">
      <c r="A4" s="3">
        <v>2</v>
      </c>
      <c r="B4" s="3" t="s">
        <v>27</v>
      </c>
      <c r="C4" s="3">
        <v>1407</v>
      </c>
      <c r="D4" s="3">
        <v>455</v>
      </c>
      <c r="E4" s="3">
        <v>219</v>
      </c>
      <c r="F4" s="3">
        <v>0</v>
      </c>
    </row>
    <row r="5" spans="1:6" ht="24.6" customHeight="1" x14ac:dyDescent="0.25">
      <c r="A5" s="3">
        <v>3</v>
      </c>
      <c r="B5" s="3" t="s">
        <v>28</v>
      </c>
      <c r="C5" s="3">
        <v>217</v>
      </c>
      <c r="D5" s="3">
        <v>295</v>
      </c>
      <c r="E5" s="3">
        <v>273</v>
      </c>
      <c r="F5" s="3">
        <v>110</v>
      </c>
    </row>
    <row r="6" spans="1:6" ht="24.6" customHeight="1" x14ac:dyDescent="0.25">
      <c r="A6" s="3">
        <v>4</v>
      </c>
      <c r="B6" s="3" t="s">
        <v>29</v>
      </c>
      <c r="C6" s="3">
        <v>1498</v>
      </c>
      <c r="D6" s="3">
        <v>1521</v>
      </c>
      <c r="E6" s="3">
        <v>533</v>
      </c>
      <c r="F6" s="3">
        <v>0</v>
      </c>
    </row>
    <row r="7" spans="1:6" ht="24.6" customHeight="1" x14ac:dyDescent="0.25">
      <c r="A7" s="3">
        <v>5</v>
      </c>
      <c r="B7" s="3" t="s">
        <v>30</v>
      </c>
      <c r="C7" s="3">
        <f>839+2482+652</f>
        <v>3973</v>
      </c>
      <c r="D7" s="3">
        <f>3547+325</f>
        <v>3872</v>
      </c>
      <c r="E7" s="3">
        <f>2055+108</f>
        <v>2163</v>
      </c>
      <c r="F7" s="3">
        <f>1424</f>
        <v>1424</v>
      </c>
    </row>
    <row r="8" spans="1:6" ht="24.6" customHeight="1" x14ac:dyDescent="0.25">
      <c r="A8" s="3">
        <v>6</v>
      </c>
      <c r="B8" s="3" t="s">
        <v>31</v>
      </c>
      <c r="C8" s="3">
        <v>3215</v>
      </c>
      <c r="D8" s="3">
        <v>512</v>
      </c>
      <c r="E8" s="3">
        <v>88</v>
      </c>
      <c r="F8" s="3">
        <v>0</v>
      </c>
    </row>
    <row r="9" spans="1:6" ht="24.6" customHeight="1" x14ac:dyDescent="0.25">
      <c r="A9" s="42" t="s">
        <v>32</v>
      </c>
      <c r="B9" s="43"/>
      <c r="C9" s="3">
        <f t="shared" ref="C9:F9" si="0">SUM(C3:C8)</f>
        <v>14297</v>
      </c>
      <c r="D9" s="3">
        <f t="shared" si="0"/>
        <v>10132</v>
      </c>
      <c r="E9" s="3">
        <f t="shared" si="0"/>
        <v>4263</v>
      </c>
      <c r="F9" s="3">
        <f t="shared" si="0"/>
        <v>1576</v>
      </c>
    </row>
    <row r="10" spans="1:6" ht="46.8" x14ac:dyDescent="0.25">
      <c r="A10" s="5" t="s">
        <v>23</v>
      </c>
      <c r="B10" s="5" t="s">
        <v>23</v>
      </c>
      <c r="C10" s="5" t="s">
        <v>33</v>
      </c>
      <c r="D10" s="5" t="s">
        <v>23</v>
      </c>
      <c r="E10" s="5" t="s">
        <v>23</v>
      </c>
      <c r="F10" s="5" t="s">
        <v>23</v>
      </c>
    </row>
  </sheetData>
  <mergeCells count="2">
    <mergeCell ref="A1:F1"/>
    <mergeCell ref="A9:B9"/>
  </mergeCells>
  <phoneticPr fontId="11" type="noConversion"/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6"/>
  <dimension ref="A1:F10"/>
  <sheetViews>
    <sheetView workbookViewId="0">
      <selection activeCell="I4" sqref="I4"/>
    </sheetView>
  </sheetViews>
  <sheetFormatPr defaultColWidth="9" defaultRowHeight="14.4" x14ac:dyDescent="0.25"/>
  <cols>
    <col min="1" max="1" width="7.44140625" customWidth="1"/>
    <col min="2" max="2" width="23.88671875" customWidth="1"/>
    <col min="3" max="3" width="25.33203125" customWidth="1"/>
    <col min="4" max="6" width="14.77734375" customWidth="1"/>
  </cols>
  <sheetData>
    <row r="1" spans="1:6" ht="20.399999999999999" x14ac:dyDescent="0.25">
      <c r="A1" s="41" t="s">
        <v>59</v>
      </c>
      <c r="B1" s="41"/>
      <c r="C1" s="41"/>
      <c r="D1" s="41"/>
      <c r="E1" s="41"/>
      <c r="F1" s="41"/>
    </row>
    <row r="2" spans="1:6" ht="15.6" x14ac:dyDescent="0.25">
      <c r="A2" s="1" t="s">
        <v>0</v>
      </c>
      <c r="B2" s="1" t="s">
        <v>25</v>
      </c>
      <c r="C2" s="1" t="s">
        <v>2</v>
      </c>
      <c r="D2" s="2" t="s">
        <v>3</v>
      </c>
      <c r="E2" s="2" t="s">
        <v>4</v>
      </c>
      <c r="F2" s="2" t="s">
        <v>5</v>
      </c>
    </row>
    <row r="3" spans="1:6" ht="24.6" customHeight="1" x14ac:dyDescent="0.25">
      <c r="A3" s="3">
        <v>1</v>
      </c>
      <c r="B3" s="3" t="s">
        <v>26</v>
      </c>
      <c r="C3" s="3">
        <v>5132</v>
      </c>
      <c r="D3" s="8">
        <v>2207</v>
      </c>
      <c r="E3" s="8">
        <v>414</v>
      </c>
      <c r="F3" s="6">
        <v>0</v>
      </c>
    </row>
    <row r="4" spans="1:6" ht="24.6" customHeight="1" x14ac:dyDescent="0.25">
      <c r="A4" s="3">
        <v>2</v>
      </c>
      <c r="B4" s="3" t="s">
        <v>27</v>
      </c>
      <c r="C4" s="3">
        <v>1824</v>
      </c>
      <c r="D4" s="3">
        <v>640</v>
      </c>
      <c r="E4" s="3">
        <v>82</v>
      </c>
      <c r="F4" s="3">
        <v>0</v>
      </c>
    </row>
    <row r="5" spans="1:6" ht="24.6" customHeight="1" x14ac:dyDescent="0.25">
      <c r="A5" s="3">
        <v>3</v>
      </c>
      <c r="B5" s="3" t="s">
        <v>28</v>
      </c>
      <c r="C5" s="3">
        <v>251</v>
      </c>
      <c r="D5" s="3">
        <v>303</v>
      </c>
      <c r="E5" s="3">
        <v>290</v>
      </c>
      <c r="F5" s="3">
        <v>121</v>
      </c>
    </row>
    <row r="6" spans="1:6" ht="24.6" customHeight="1" x14ac:dyDescent="0.25">
      <c r="A6" s="3">
        <v>4</v>
      </c>
      <c r="B6" s="3" t="s">
        <v>29</v>
      </c>
      <c r="C6" s="3">
        <v>1794</v>
      </c>
      <c r="D6" s="3">
        <v>1926</v>
      </c>
      <c r="E6" s="3">
        <v>594</v>
      </c>
      <c r="F6" s="3">
        <v>0</v>
      </c>
    </row>
    <row r="7" spans="1:6" ht="24.6" customHeight="1" x14ac:dyDescent="0.25">
      <c r="A7" s="3">
        <v>5</v>
      </c>
      <c r="B7" s="3" t="s">
        <v>30</v>
      </c>
      <c r="C7" s="3">
        <f>986+1141+2232</f>
        <v>4359</v>
      </c>
      <c r="D7" s="3">
        <f>277+2846</f>
        <v>3123</v>
      </c>
      <c r="E7" s="3">
        <f>49+3897</f>
        <v>3946</v>
      </c>
      <c r="F7" s="3">
        <v>2153</v>
      </c>
    </row>
    <row r="8" spans="1:6" ht="24.6" customHeight="1" x14ac:dyDescent="0.25">
      <c r="A8" s="3">
        <v>6</v>
      </c>
      <c r="B8" s="3" t="s">
        <v>31</v>
      </c>
      <c r="C8" s="3">
        <f>732+1399</f>
        <v>2131</v>
      </c>
      <c r="D8" s="3">
        <v>2452</v>
      </c>
      <c r="E8" s="3">
        <v>162</v>
      </c>
      <c r="F8" s="3">
        <v>0</v>
      </c>
    </row>
    <row r="9" spans="1:6" ht="24.6" customHeight="1" x14ac:dyDescent="0.25">
      <c r="A9" s="42" t="s">
        <v>32</v>
      </c>
      <c r="B9" s="43"/>
      <c r="C9" s="3">
        <f t="shared" ref="C9:F9" si="0">SUM(C3:C8)</f>
        <v>15491</v>
      </c>
      <c r="D9" s="3">
        <f t="shared" si="0"/>
        <v>10651</v>
      </c>
      <c r="E9" s="3">
        <f t="shared" si="0"/>
        <v>5488</v>
      </c>
      <c r="F9" s="3">
        <f t="shared" si="0"/>
        <v>2274</v>
      </c>
    </row>
    <row r="10" spans="1:6" ht="46.8" x14ac:dyDescent="0.25">
      <c r="A10" s="5" t="s">
        <v>23</v>
      </c>
      <c r="B10" s="5" t="s">
        <v>23</v>
      </c>
      <c r="C10" s="5" t="s">
        <v>33</v>
      </c>
      <c r="D10" s="5" t="s">
        <v>23</v>
      </c>
      <c r="E10" s="5" t="s">
        <v>23</v>
      </c>
      <c r="F10" s="5" t="s">
        <v>23</v>
      </c>
    </row>
  </sheetData>
  <mergeCells count="2">
    <mergeCell ref="A1:F1"/>
    <mergeCell ref="A9:B9"/>
  </mergeCells>
  <phoneticPr fontId="11" type="noConversion"/>
  <pageMargins left="0.75" right="0.75" top="1" bottom="1" header="0.5" footer="0.5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7"/>
  <dimension ref="A1:F10"/>
  <sheetViews>
    <sheetView workbookViewId="0">
      <selection activeCell="F10" sqref="F10"/>
    </sheetView>
  </sheetViews>
  <sheetFormatPr defaultColWidth="9" defaultRowHeight="14.4" x14ac:dyDescent="0.25"/>
  <cols>
    <col min="1" max="1" width="7.44140625" customWidth="1"/>
    <col min="2" max="2" width="23.88671875" customWidth="1"/>
    <col min="3" max="3" width="25.33203125" customWidth="1"/>
    <col min="4" max="6" width="14.77734375" customWidth="1"/>
  </cols>
  <sheetData>
    <row r="1" spans="1:6" ht="20.399999999999999" x14ac:dyDescent="0.25">
      <c r="A1" s="41" t="s">
        <v>60</v>
      </c>
      <c r="B1" s="41"/>
      <c r="C1" s="41"/>
      <c r="D1" s="41"/>
      <c r="E1" s="41"/>
      <c r="F1" s="41"/>
    </row>
    <row r="2" spans="1:6" ht="15.6" x14ac:dyDescent="0.25">
      <c r="A2" s="1" t="s">
        <v>0</v>
      </c>
      <c r="B2" s="1" t="s">
        <v>25</v>
      </c>
      <c r="C2" s="1" t="s">
        <v>2</v>
      </c>
      <c r="D2" s="2" t="s">
        <v>3</v>
      </c>
      <c r="E2" s="2" t="s">
        <v>4</v>
      </c>
      <c r="F2" s="2" t="s">
        <v>5</v>
      </c>
    </row>
    <row r="3" spans="1:6" ht="24.6" customHeight="1" x14ac:dyDescent="0.25">
      <c r="A3" s="3">
        <v>1</v>
      </c>
      <c r="B3" s="3" t="s">
        <v>26</v>
      </c>
      <c r="C3" s="3">
        <v>3286</v>
      </c>
      <c r="D3" s="3">
        <v>1308</v>
      </c>
      <c r="E3" s="3">
        <v>346</v>
      </c>
      <c r="F3" s="6">
        <v>0</v>
      </c>
    </row>
    <row r="4" spans="1:6" ht="24.6" customHeight="1" x14ac:dyDescent="0.25">
      <c r="A4" s="3">
        <v>2</v>
      </c>
      <c r="B4" s="3" t="s">
        <v>27</v>
      </c>
      <c r="C4" s="3">
        <v>1071</v>
      </c>
      <c r="D4" s="3">
        <v>312</v>
      </c>
      <c r="E4" s="3">
        <v>121</v>
      </c>
      <c r="F4" s="3">
        <v>0</v>
      </c>
    </row>
    <row r="5" spans="1:6" ht="24.6" customHeight="1" x14ac:dyDescent="0.25">
      <c r="A5" s="3">
        <v>3</v>
      </c>
      <c r="B5" s="3" t="s">
        <v>28</v>
      </c>
      <c r="C5" s="3">
        <v>170</v>
      </c>
      <c r="D5" s="3">
        <v>225</v>
      </c>
      <c r="E5" s="3">
        <v>214</v>
      </c>
      <c r="F5" s="3">
        <v>128</v>
      </c>
    </row>
    <row r="6" spans="1:6" ht="24.6" customHeight="1" x14ac:dyDescent="0.25">
      <c r="A6" s="3">
        <v>4</v>
      </c>
      <c r="B6" s="3" t="s">
        <v>29</v>
      </c>
      <c r="C6" s="3">
        <v>1437</v>
      </c>
      <c r="D6" s="3">
        <v>1546</v>
      </c>
      <c r="E6" s="3">
        <v>457</v>
      </c>
      <c r="F6" s="3">
        <v>0</v>
      </c>
    </row>
    <row r="7" spans="1:6" ht="24.6" customHeight="1" x14ac:dyDescent="0.25">
      <c r="A7" s="3">
        <v>5</v>
      </c>
      <c r="B7" s="3" t="s">
        <v>30</v>
      </c>
      <c r="C7" s="3">
        <f>1037+1927+971</f>
        <v>3935</v>
      </c>
      <c r="D7" s="3">
        <f>2142+249</f>
        <v>2391</v>
      </c>
      <c r="E7" s="3">
        <f>3076+46</f>
        <v>3122</v>
      </c>
      <c r="F7" s="3">
        <f>2540</f>
        <v>2540</v>
      </c>
    </row>
    <row r="8" spans="1:6" ht="24.6" customHeight="1" x14ac:dyDescent="0.25">
      <c r="A8" s="3">
        <v>6</v>
      </c>
      <c r="B8" s="3" t="s">
        <v>31</v>
      </c>
      <c r="C8" s="3">
        <f>794+2945+4</f>
        <v>3743</v>
      </c>
      <c r="D8" s="3">
        <v>4168</v>
      </c>
      <c r="E8" s="3">
        <v>21</v>
      </c>
      <c r="F8" s="3">
        <v>0</v>
      </c>
    </row>
    <row r="9" spans="1:6" ht="24.6" customHeight="1" x14ac:dyDescent="0.25">
      <c r="A9" s="42" t="s">
        <v>32</v>
      </c>
      <c r="B9" s="43"/>
      <c r="C9" s="3">
        <f t="shared" ref="C9:F9" si="0">SUM(C3:C8)</f>
        <v>13642</v>
      </c>
      <c r="D9" s="3">
        <f t="shared" si="0"/>
        <v>9950</v>
      </c>
      <c r="E9" s="3">
        <f t="shared" si="0"/>
        <v>4281</v>
      </c>
      <c r="F9" s="3">
        <f t="shared" si="0"/>
        <v>2668</v>
      </c>
    </row>
    <row r="10" spans="1:6" ht="46.8" x14ac:dyDescent="0.25">
      <c r="A10" s="5" t="s">
        <v>23</v>
      </c>
      <c r="B10" s="5" t="s">
        <v>23</v>
      </c>
      <c r="C10" s="5" t="s">
        <v>33</v>
      </c>
      <c r="D10" s="5" t="s">
        <v>23</v>
      </c>
      <c r="E10" s="5" t="s">
        <v>23</v>
      </c>
      <c r="F10" s="5" t="s">
        <v>23</v>
      </c>
    </row>
  </sheetData>
  <mergeCells count="2">
    <mergeCell ref="A1:F1"/>
    <mergeCell ref="A9:B9"/>
  </mergeCells>
  <phoneticPr fontId="11" type="noConversion"/>
  <pageMargins left="0.75" right="0.75" top="1" bottom="1" header="0.5" footer="0.5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8"/>
  <dimension ref="A1:F10"/>
  <sheetViews>
    <sheetView workbookViewId="0">
      <selection activeCell="D19" sqref="D19"/>
    </sheetView>
  </sheetViews>
  <sheetFormatPr defaultColWidth="9" defaultRowHeight="14.4" x14ac:dyDescent="0.25"/>
  <cols>
    <col min="1" max="1" width="7.44140625" customWidth="1"/>
    <col min="2" max="2" width="23.88671875" customWidth="1"/>
    <col min="3" max="3" width="25.33203125" customWidth="1"/>
    <col min="4" max="6" width="14.77734375" customWidth="1"/>
  </cols>
  <sheetData>
    <row r="1" spans="1:6" ht="20.399999999999999" x14ac:dyDescent="0.25">
      <c r="A1" s="41" t="s">
        <v>61</v>
      </c>
      <c r="B1" s="41"/>
      <c r="C1" s="41"/>
      <c r="D1" s="41"/>
      <c r="E1" s="41"/>
      <c r="F1" s="41"/>
    </row>
    <row r="2" spans="1:6" ht="15.6" x14ac:dyDescent="0.25">
      <c r="A2" s="1" t="s">
        <v>0</v>
      </c>
      <c r="B2" s="1" t="s">
        <v>25</v>
      </c>
      <c r="C2" s="1" t="s">
        <v>2</v>
      </c>
      <c r="D2" s="2" t="s">
        <v>3</v>
      </c>
      <c r="E2" s="2" t="s">
        <v>4</v>
      </c>
      <c r="F2" s="2" t="s">
        <v>5</v>
      </c>
    </row>
    <row r="3" spans="1:6" ht="24.6" customHeight="1" x14ac:dyDescent="0.25">
      <c r="A3" s="3">
        <v>1</v>
      </c>
      <c r="B3" s="3" t="s">
        <v>26</v>
      </c>
      <c r="C3" s="3">
        <f>3280</f>
        <v>3280</v>
      </c>
      <c r="D3" s="3">
        <f>821</f>
        <v>821</v>
      </c>
      <c r="E3" s="3">
        <f>334</f>
        <v>334</v>
      </c>
      <c r="F3" s="7">
        <v>0</v>
      </c>
    </row>
    <row r="4" spans="1:6" ht="24.6" customHeight="1" x14ac:dyDescent="0.25">
      <c r="A4" s="3">
        <v>2</v>
      </c>
      <c r="B4" s="3" t="s">
        <v>27</v>
      </c>
      <c r="C4" s="3">
        <v>1211</v>
      </c>
      <c r="D4" s="3">
        <v>493</v>
      </c>
      <c r="E4" s="3">
        <v>307</v>
      </c>
      <c r="F4" s="3">
        <v>0</v>
      </c>
    </row>
    <row r="5" spans="1:6" ht="24.6" customHeight="1" x14ac:dyDescent="0.25">
      <c r="A5" s="3">
        <v>3</v>
      </c>
      <c r="B5" s="3" t="s">
        <v>28</v>
      </c>
      <c r="C5" s="3">
        <v>100</v>
      </c>
      <c r="D5" s="3">
        <v>195</v>
      </c>
      <c r="E5" s="3">
        <v>204</v>
      </c>
      <c r="F5" s="3">
        <v>149</v>
      </c>
    </row>
    <row r="6" spans="1:6" ht="24.6" customHeight="1" x14ac:dyDescent="0.25">
      <c r="A6" s="3">
        <v>4</v>
      </c>
      <c r="B6" s="3" t="s">
        <v>29</v>
      </c>
      <c r="C6" s="3">
        <v>1410</v>
      </c>
      <c r="D6" s="3">
        <v>1503</v>
      </c>
      <c r="E6" s="3">
        <v>481</v>
      </c>
      <c r="F6" s="3">
        <v>0</v>
      </c>
    </row>
    <row r="7" spans="1:6" ht="24.6" customHeight="1" x14ac:dyDescent="0.25">
      <c r="A7" s="3">
        <v>5</v>
      </c>
      <c r="B7" s="3" t="s">
        <v>30</v>
      </c>
      <c r="C7" s="3">
        <f>846</f>
        <v>846</v>
      </c>
      <c r="D7" s="3">
        <f>238</f>
        <v>238</v>
      </c>
      <c r="E7" s="3">
        <f>44</f>
        <v>44</v>
      </c>
      <c r="F7" s="3">
        <v>0</v>
      </c>
    </row>
    <row r="8" spans="1:6" ht="24.6" customHeight="1" x14ac:dyDescent="0.25">
      <c r="A8" s="3">
        <v>6</v>
      </c>
      <c r="B8" s="3" t="s">
        <v>31</v>
      </c>
      <c r="C8" s="3">
        <f>1287+1508+3</f>
        <v>2798</v>
      </c>
      <c r="D8" s="3">
        <v>3741</v>
      </c>
      <c r="E8" s="3">
        <v>29</v>
      </c>
      <c r="F8" s="3">
        <v>0</v>
      </c>
    </row>
    <row r="9" spans="1:6" ht="24.6" customHeight="1" x14ac:dyDescent="0.25">
      <c r="A9" s="42" t="s">
        <v>32</v>
      </c>
      <c r="B9" s="43"/>
      <c r="C9" s="3">
        <f t="shared" ref="C9:F9" si="0">SUM(C3:C8)</f>
        <v>9645</v>
      </c>
      <c r="D9" s="3">
        <f t="shared" si="0"/>
        <v>6991</v>
      </c>
      <c r="E9" s="3">
        <f t="shared" si="0"/>
        <v>1399</v>
      </c>
      <c r="F9" s="3">
        <f t="shared" si="0"/>
        <v>149</v>
      </c>
    </row>
    <row r="10" spans="1:6" ht="46.8" x14ac:dyDescent="0.25">
      <c r="A10" s="5" t="s">
        <v>23</v>
      </c>
      <c r="B10" s="5" t="s">
        <v>23</v>
      </c>
      <c r="C10" s="5" t="s">
        <v>33</v>
      </c>
      <c r="D10" s="5" t="s">
        <v>23</v>
      </c>
      <c r="E10" s="5" t="s">
        <v>23</v>
      </c>
      <c r="F10" s="5" t="s">
        <v>23</v>
      </c>
    </row>
  </sheetData>
  <mergeCells count="2">
    <mergeCell ref="A1:F1"/>
    <mergeCell ref="A9:B9"/>
  </mergeCells>
  <phoneticPr fontId="11" type="noConversion"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29"/>
  <dimension ref="A1:F10"/>
  <sheetViews>
    <sheetView workbookViewId="0">
      <selection activeCell="C7" sqref="C7"/>
    </sheetView>
  </sheetViews>
  <sheetFormatPr defaultColWidth="9" defaultRowHeight="14.4" x14ac:dyDescent="0.25"/>
  <cols>
    <col min="1" max="1" width="7.44140625" customWidth="1"/>
    <col min="2" max="2" width="23.88671875" customWidth="1"/>
    <col min="3" max="3" width="25.33203125" customWidth="1"/>
    <col min="4" max="6" width="14.77734375" customWidth="1"/>
  </cols>
  <sheetData>
    <row r="1" spans="1:6" ht="20.399999999999999" x14ac:dyDescent="0.25">
      <c r="A1" s="41" t="s">
        <v>62</v>
      </c>
      <c r="B1" s="41"/>
      <c r="C1" s="41"/>
      <c r="D1" s="41"/>
      <c r="E1" s="41"/>
      <c r="F1" s="41"/>
    </row>
    <row r="2" spans="1:6" ht="15.6" x14ac:dyDescent="0.25">
      <c r="A2" s="1" t="s">
        <v>0</v>
      </c>
      <c r="B2" s="1" t="s">
        <v>25</v>
      </c>
      <c r="C2" s="1" t="s">
        <v>2</v>
      </c>
      <c r="D2" s="2" t="s">
        <v>3</v>
      </c>
      <c r="E2" s="2" t="s">
        <v>4</v>
      </c>
      <c r="F2" s="2" t="s">
        <v>5</v>
      </c>
    </row>
    <row r="3" spans="1:6" ht="24.6" customHeight="1" x14ac:dyDescent="0.25">
      <c r="A3" s="3">
        <v>1</v>
      </c>
      <c r="B3" s="3" t="s">
        <v>26</v>
      </c>
      <c r="C3" s="3">
        <f>2766</f>
        <v>2766</v>
      </c>
      <c r="D3" s="3">
        <f>1557</f>
        <v>1557</v>
      </c>
      <c r="E3" s="3">
        <f>0</f>
        <v>0</v>
      </c>
      <c r="F3" s="6">
        <f>0</f>
        <v>0</v>
      </c>
    </row>
    <row r="4" spans="1:6" ht="24.6" customHeight="1" x14ac:dyDescent="0.25">
      <c r="A4" s="3">
        <v>2</v>
      </c>
      <c r="B4" s="3" t="s">
        <v>27</v>
      </c>
      <c r="C4" s="3">
        <v>2191</v>
      </c>
      <c r="D4" s="3">
        <v>333</v>
      </c>
      <c r="E4" s="3">
        <v>142</v>
      </c>
      <c r="F4" s="3">
        <v>0</v>
      </c>
    </row>
    <row r="5" spans="1:6" ht="24.6" customHeight="1" x14ac:dyDescent="0.25">
      <c r="A5" s="3">
        <v>3</v>
      </c>
      <c r="B5" s="3" t="s">
        <v>28</v>
      </c>
      <c r="C5" s="3">
        <v>215</v>
      </c>
      <c r="D5" s="3">
        <v>63</v>
      </c>
      <c r="E5" s="3">
        <v>36</v>
      </c>
      <c r="F5" s="3">
        <v>8</v>
      </c>
    </row>
    <row r="6" spans="1:6" ht="24.6" customHeight="1" x14ac:dyDescent="0.25">
      <c r="A6" s="3">
        <v>4</v>
      </c>
      <c r="B6" s="3" t="s">
        <v>29</v>
      </c>
      <c r="C6" s="3">
        <f>1938</f>
        <v>1938</v>
      </c>
      <c r="D6" s="3">
        <f>1762</f>
        <v>1762</v>
      </c>
      <c r="E6" s="3">
        <f>612</f>
        <v>612</v>
      </c>
      <c r="F6" s="3">
        <v>0</v>
      </c>
    </row>
    <row r="7" spans="1:6" ht="24.6" customHeight="1" x14ac:dyDescent="0.25">
      <c r="A7" s="3">
        <v>5</v>
      </c>
      <c r="B7" s="3" t="s">
        <v>30</v>
      </c>
      <c r="C7" s="3">
        <f>792+1900+921</f>
        <v>3613</v>
      </c>
      <c r="D7" s="3">
        <f>2527+315</f>
        <v>2842</v>
      </c>
      <c r="E7" s="3">
        <f>2877+147</f>
        <v>3024</v>
      </c>
      <c r="F7" s="3">
        <f>2287</f>
        <v>2287</v>
      </c>
    </row>
    <row r="8" spans="1:6" ht="24.6" customHeight="1" x14ac:dyDescent="0.25">
      <c r="A8" s="3">
        <v>6</v>
      </c>
      <c r="B8" s="3" t="s">
        <v>31</v>
      </c>
      <c r="C8" s="3">
        <f>924+1422+2</f>
        <v>2348</v>
      </c>
      <c r="D8" s="3">
        <v>2781</v>
      </c>
      <c r="E8" s="3">
        <v>37</v>
      </c>
      <c r="F8" s="3">
        <v>0</v>
      </c>
    </row>
    <row r="9" spans="1:6" ht="24.6" customHeight="1" x14ac:dyDescent="0.25">
      <c r="A9" s="42" t="s">
        <v>32</v>
      </c>
      <c r="B9" s="43"/>
      <c r="C9" s="3">
        <f>SUM(C3:C8)</f>
        <v>13071</v>
      </c>
      <c r="D9" s="3">
        <f t="shared" ref="D9:F9" si="0">SUM(D3:D8)</f>
        <v>9338</v>
      </c>
      <c r="E9" s="3">
        <f t="shared" si="0"/>
        <v>3851</v>
      </c>
      <c r="F9" s="3">
        <f t="shared" si="0"/>
        <v>2295</v>
      </c>
    </row>
    <row r="10" spans="1:6" ht="46.8" x14ac:dyDescent="0.25">
      <c r="A10" s="5" t="s">
        <v>23</v>
      </c>
      <c r="B10" s="5" t="s">
        <v>23</v>
      </c>
      <c r="C10" s="5" t="s">
        <v>33</v>
      </c>
      <c r="D10" s="5" t="s">
        <v>23</v>
      </c>
      <c r="E10" s="5" t="s">
        <v>23</v>
      </c>
      <c r="F10" s="5" t="s">
        <v>23</v>
      </c>
    </row>
  </sheetData>
  <mergeCells count="2">
    <mergeCell ref="A1:F1"/>
    <mergeCell ref="A9:B9"/>
  </mergeCells>
  <phoneticPr fontId="11" type="noConversion"/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30"/>
  <dimension ref="A1:F10"/>
  <sheetViews>
    <sheetView workbookViewId="0">
      <selection activeCell="C8" sqref="C8"/>
    </sheetView>
  </sheetViews>
  <sheetFormatPr defaultColWidth="9" defaultRowHeight="14.4" x14ac:dyDescent="0.25"/>
  <cols>
    <col min="1" max="1" width="7.44140625" customWidth="1"/>
    <col min="2" max="2" width="23.88671875" customWidth="1"/>
    <col min="3" max="3" width="25.33203125" customWidth="1"/>
    <col min="4" max="6" width="14.77734375" customWidth="1"/>
  </cols>
  <sheetData>
    <row r="1" spans="1:6" ht="20.399999999999999" x14ac:dyDescent="0.25">
      <c r="A1" s="41" t="s">
        <v>63</v>
      </c>
      <c r="B1" s="41"/>
      <c r="C1" s="41"/>
      <c r="D1" s="41"/>
      <c r="E1" s="41"/>
      <c r="F1" s="41"/>
    </row>
    <row r="2" spans="1:6" ht="15.6" x14ac:dyDescent="0.25">
      <c r="A2" s="1" t="s">
        <v>0</v>
      </c>
      <c r="B2" s="1" t="s">
        <v>25</v>
      </c>
      <c r="C2" s="1" t="s">
        <v>2</v>
      </c>
      <c r="D2" s="2" t="s">
        <v>3</v>
      </c>
      <c r="E2" s="2" t="s">
        <v>4</v>
      </c>
      <c r="F2" s="2" t="s">
        <v>5</v>
      </c>
    </row>
    <row r="3" spans="1:6" ht="24.6" customHeight="1" x14ac:dyDescent="0.25">
      <c r="A3" s="3">
        <v>1</v>
      </c>
      <c r="B3" s="3" t="s">
        <v>26</v>
      </c>
      <c r="C3" s="3">
        <v>2345</v>
      </c>
      <c r="D3" s="3">
        <v>1478</v>
      </c>
      <c r="E3" s="3">
        <v>1928</v>
      </c>
      <c r="F3" s="6">
        <v>0</v>
      </c>
    </row>
    <row r="4" spans="1:6" ht="24.6" customHeight="1" x14ac:dyDescent="0.25">
      <c r="A4" s="3">
        <v>2</v>
      </c>
      <c r="B4" s="3" t="s">
        <v>27</v>
      </c>
      <c r="C4" s="3">
        <v>1869</v>
      </c>
      <c r="D4" s="3">
        <v>328</v>
      </c>
      <c r="E4" s="3">
        <v>338</v>
      </c>
      <c r="F4" s="3">
        <v>0</v>
      </c>
    </row>
    <row r="5" spans="1:6" ht="24.6" customHeight="1" x14ac:dyDescent="0.25">
      <c r="A5" s="3">
        <v>3</v>
      </c>
      <c r="B5" s="3" t="s">
        <v>28</v>
      </c>
      <c r="C5" s="3">
        <v>252</v>
      </c>
      <c r="D5" s="3">
        <v>59</v>
      </c>
      <c r="E5" s="3">
        <v>37</v>
      </c>
      <c r="F5" s="3">
        <v>8</v>
      </c>
    </row>
    <row r="6" spans="1:6" ht="24.6" customHeight="1" x14ac:dyDescent="0.25">
      <c r="A6" s="3">
        <v>4</v>
      </c>
      <c r="B6" s="3" t="s">
        <v>29</v>
      </c>
      <c r="C6" s="3">
        <v>2100</v>
      </c>
      <c r="D6" s="3">
        <v>1866</v>
      </c>
      <c r="E6" s="3">
        <v>524</v>
      </c>
      <c r="F6" s="3">
        <v>0</v>
      </c>
    </row>
    <row r="7" spans="1:6" ht="24.6" customHeight="1" x14ac:dyDescent="0.25">
      <c r="A7" s="3">
        <v>5</v>
      </c>
      <c r="B7" s="3" t="s">
        <v>30</v>
      </c>
      <c r="C7" s="3">
        <f>851+1759+942</f>
        <v>3552</v>
      </c>
      <c r="D7" s="3">
        <f>2007+252</f>
        <v>2259</v>
      </c>
      <c r="E7" s="3">
        <f>2981+51</f>
        <v>3032</v>
      </c>
      <c r="F7" s="3">
        <f>2910</f>
        <v>2910</v>
      </c>
    </row>
    <row r="8" spans="1:6" ht="24.6" customHeight="1" x14ac:dyDescent="0.25">
      <c r="A8" s="3">
        <v>6</v>
      </c>
      <c r="B8" s="3" t="s">
        <v>31</v>
      </c>
      <c r="C8" s="3">
        <f>884+2150+9</f>
        <v>3043</v>
      </c>
      <c r="D8" s="3">
        <v>3592</v>
      </c>
      <c r="E8" s="3">
        <v>45</v>
      </c>
      <c r="F8" s="3">
        <v>0</v>
      </c>
    </row>
    <row r="9" spans="1:6" ht="24.6" customHeight="1" x14ac:dyDescent="0.25">
      <c r="A9" s="42" t="s">
        <v>32</v>
      </c>
      <c r="B9" s="43"/>
      <c r="C9" s="3">
        <f t="shared" ref="C9:F9" si="0">SUM(C3:C8)</f>
        <v>13161</v>
      </c>
      <c r="D9" s="3">
        <f t="shared" si="0"/>
        <v>9582</v>
      </c>
      <c r="E9" s="3">
        <f t="shared" si="0"/>
        <v>5904</v>
      </c>
      <c r="F9" s="3">
        <f t="shared" si="0"/>
        <v>2918</v>
      </c>
    </row>
    <row r="10" spans="1:6" ht="46.8" x14ac:dyDescent="0.25">
      <c r="A10" s="5" t="s">
        <v>23</v>
      </c>
      <c r="B10" s="5" t="s">
        <v>23</v>
      </c>
      <c r="C10" s="5" t="s">
        <v>33</v>
      </c>
      <c r="D10" s="5" t="s">
        <v>23</v>
      </c>
      <c r="E10" s="5" t="s">
        <v>23</v>
      </c>
      <c r="F10" s="5" t="s">
        <v>23</v>
      </c>
    </row>
  </sheetData>
  <mergeCells count="2">
    <mergeCell ref="A1:F1"/>
    <mergeCell ref="A9:B9"/>
  </mergeCells>
  <phoneticPr fontId="11" type="noConversion"/>
  <pageMargins left="0.75" right="0.75" top="1" bottom="1" header="0.5" footer="0.5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31"/>
  <dimension ref="A1:F10"/>
  <sheetViews>
    <sheetView workbookViewId="0">
      <selection activeCell="A8" sqref="A8:XFD8"/>
    </sheetView>
  </sheetViews>
  <sheetFormatPr defaultColWidth="9" defaultRowHeight="14.4" x14ac:dyDescent="0.25"/>
  <cols>
    <col min="1" max="1" width="7.44140625" customWidth="1"/>
    <col min="2" max="2" width="23.88671875" customWidth="1"/>
    <col min="3" max="3" width="25.33203125" customWidth="1"/>
    <col min="4" max="6" width="14.77734375" customWidth="1"/>
  </cols>
  <sheetData>
    <row r="1" spans="1:6" ht="20.399999999999999" x14ac:dyDescent="0.25">
      <c r="A1" s="41" t="s">
        <v>64</v>
      </c>
      <c r="B1" s="41"/>
      <c r="C1" s="41"/>
      <c r="D1" s="41"/>
      <c r="E1" s="41"/>
      <c r="F1" s="41"/>
    </row>
    <row r="2" spans="1:6" ht="15.6" x14ac:dyDescent="0.25">
      <c r="A2" s="1" t="s">
        <v>0</v>
      </c>
      <c r="B2" s="1" t="s">
        <v>25</v>
      </c>
      <c r="C2" s="1" t="s">
        <v>2</v>
      </c>
      <c r="D2" s="2" t="s">
        <v>3</v>
      </c>
      <c r="E2" s="2" t="s">
        <v>4</v>
      </c>
      <c r="F2" s="2" t="s">
        <v>5</v>
      </c>
    </row>
    <row r="3" spans="1:6" ht="24.6" customHeight="1" x14ac:dyDescent="0.25">
      <c r="A3" s="3">
        <v>1</v>
      </c>
      <c r="B3" s="3" t="s">
        <v>26</v>
      </c>
      <c r="C3" s="3">
        <v>2205</v>
      </c>
      <c r="D3" s="3">
        <v>1821</v>
      </c>
      <c r="E3" s="3">
        <v>261</v>
      </c>
      <c r="F3" s="6">
        <v>0</v>
      </c>
    </row>
    <row r="4" spans="1:6" ht="24.6" customHeight="1" x14ac:dyDescent="0.25">
      <c r="A4" s="3">
        <v>2</v>
      </c>
      <c r="B4" s="3" t="s">
        <v>27</v>
      </c>
      <c r="C4" s="3">
        <v>1314</v>
      </c>
      <c r="D4" s="3">
        <v>311</v>
      </c>
      <c r="E4" s="3">
        <v>235</v>
      </c>
      <c r="F4" s="3">
        <v>0</v>
      </c>
    </row>
    <row r="5" spans="1:6" ht="24.6" customHeight="1" x14ac:dyDescent="0.25">
      <c r="A5" s="3">
        <v>3</v>
      </c>
      <c r="B5" s="3" t="s">
        <v>28</v>
      </c>
      <c r="C5" s="3">
        <v>198</v>
      </c>
      <c r="D5" s="3">
        <v>33</v>
      </c>
      <c r="E5" s="3">
        <v>30</v>
      </c>
      <c r="F5" s="3">
        <v>12</v>
      </c>
    </row>
    <row r="6" spans="1:6" ht="24.6" customHeight="1" x14ac:dyDescent="0.25">
      <c r="A6" s="3">
        <v>4</v>
      </c>
      <c r="B6" s="3" t="s">
        <v>29</v>
      </c>
      <c r="C6" s="3">
        <v>1768</v>
      </c>
      <c r="D6" s="3">
        <v>1635</v>
      </c>
      <c r="E6" s="3">
        <v>478</v>
      </c>
      <c r="F6" s="3">
        <v>0</v>
      </c>
    </row>
    <row r="7" spans="1:6" ht="24.6" customHeight="1" x14ac:dyDescent="0.25">
      <c r="A7" s="3">
        <v>5</v>
      </c>
      <c r="B7" s="3" t="s">
        <v>30</v>
      </c>
      <c r="C7" s="3">
        <f>3491+660+1827</f>
        <v>5978</v>
      </c>
      <c r="D7" s="3">
        <f>274+2804</f>
        <v>3078</v>
      </c>
      <c r="E7" s="3">
        <f>77+1740</f>
        <v>1817</v>
      </c>
      <c r="F7" s="3">
        <f>0+2508</f>
        <v>2508</v>
      </c>
    </row>
    <row r="8" spans="1:6" ht="24.6" customHeight="1" x14ac:dyDescent="0.25">
      <c r="A8" s="3">
        <v>6</v>
      </c>
      <c r="B8" s="3" t="s">
        <v>31</v>
      </c>
      <c r="C8" s="3">
        <v>2229</v>
      </c>
      <c r="D8" s="3">
        <v>2421</v>
      </c>
      <c r="E8" s="3">
        <v>13</v>
      </c>
      <c r="F8" s="3">
        <v>0</v>
      </c>
    </row>
    <row r="9" spans="1:6" ht="24.6" customHeight="1" x14ac:dyDescent="0.25">
      <c r="A9" s="42" t="s">
        <v>32</v>
      </c>
      <c r="B9" s="43"/>
      <c r="C9" s="3">
        <f t="shared" ref="C9:F9" si="0">SUM(C3:C8)</f>
        <v>13692</v>
      </c>
      <c r="D9" s="3">
        <f t="shared" si="0"/>
        <v>9299</v>
      </c>
      <c r="E9" s="3">
        <f t="shared" si="0"/>
        <v>2834</v>
      </c>
      <c r="F9" s="3">
        <f t="shared" si="0"/>
        <v>2520</v>
      </c>
    </row>
    <row r="10" spans="1:6" ht="46.8" x14ac:dyDescent="0.25">
      <c r="A10" s="5" t="s">
        <v>23</v>
      </c>
      <c r="B10" s="5" t="s">
        <v>23</v>
      </c>
      <c r="C10" s="5" t="s">
        <v>33</v>
      </c>
      <c r="D10" s="5" t="s">
        <v>23</v>
      </c>
      <c r="E10" s="5" t="s">
        <v>23</v>
      </c>
      <c r="F10" s="5" t="s">
        <v>23</v>
      </c>
    </row>
  </sheetData>
  <mergeCells count="2">
    <mergeCell ref="A1:F1"/>
    <mergeCell ref="A9:B9"/>
  </mergeCells>
  <phoneticPr fontId="11" type="noConversion"/>
  <pageMargins left="0.75" right="0.75" top="1" bottom="1" header="0.5" footer="0.5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F11"/>
  <sheetViews>
    <sheetView tabSelected="1" workbookViewId="0">
      <selection activeCell="H6" sqref="H6"/>
    </sheetView>
  </sheetViews>
  <sheetFormatPr defaultColWidth="9" defaultRowHeight="14.4" x14ac:dyDescent="0.25"/>
  <cols>
    <col min="1" max="1" width="7.44140625" customWidth="1"/>
    <col min="2" max="2" width="23.88671875" customWidth="1"/>
    <col min="3" max="3" width="25.33203125" customWidth="1"/>
    <col min="4" max="6" width="14.77734375" customWidth="1"/>
  </cols>
  <sheetData>
    <row r="1" spans="1:6" ht="20.399999999999999" x14ac:dyDescent="0.25">
      <c r="A1" s="41" t="s">
        <v>65</v>
      </c>
      <c r="B1" s="41"/>
      <c r="C1" s="41"/>
      <c r="D1" s="41"/>
      <c r="E1" s="41"/>
      <c r="F1" s="41"/>
    </row>
    <row r="2" spans="1:6" ht="15.6" x14ac:dyDescent="0.25">
      <c r="A2" s="1" t="s">
        <v>0</v>
      </c>
      <c r="B2" s="1" t="s">
        <v>25</v>
      </c>
      <c r="C2" s="1" t="s">
        <v>2</v>
      </c>
      <c r="D2" s="2" t="s">
        <v>3</v>
      </c>
      <c r="E2" s="2" t="s">
        <v>4</v>
      </c>
      <c r="F2" s="2" t="s">
        <v>5</v>
      </c>
    </row>
    <row r="3" spans="1:6" ht="24.6" customHeight="1" x14ac:dyDescent="0.25">
      <c r="A3" s="3">
        <v>1</v>
      </c>
      <c r="B3" s="3" t="s">
        <v>26</v>
      </c>
      <c r="C3" s="3">
        <f>'[2]2025.6.3-6.6'!C3+'[2]2025.6.9-6.13'!C3+'[2]2025.6.16-6.20'!C3+'[2]2025.6.23-6.27'!C3+'[2]2025.6.3-6.6'!C4+'[2]2025.6.9-6.13'!C4+'[2]2025.6.16-6.20'!C4+'[2]2025.6.23-6.27'!C4+'[2]2025.6.3-6.6'!C15+'[2]2025.6.9-6.13'!C15+'[2]2025.6.16-6.20'!C15+'[2]2025.6.23-6.27'!C15</f>
        <v>5078</v>
      </c>
      <c r="D3" s="3">
        <f>'[2]2025.6.3-6.6'!D3+'[2]2025.6.9-6.13'!D3+'[2]2025.6.16-6.20'!D3+'[2]2025.6.23-6.27'!D3+'[2]2025.6.3-6.6'!D4+'[2]2025.6.9-6.13'!D4+'[2]2025.6.16-6.20'!D4+'[2]2025.6.23-6.27'!D4+'[2]2025.6.3-6.6'!D15+'[2]2025.6.9-6.13'!D15+'[2]2025.6.16-6.20'!D15+'[2]2025.6.23-6.27'!D15</f>
        <v>10790</v>
      </c>
      <c r="E3" s="3">
        <f>'[2]2025.6.3-6.6'!E3+'[2]2025.6.9-6.13'!E3+'[2]2025.6.16-6.20'!E3+'[2]2025.6.23-6.27'!E3+'[2]2025.6.3-6.6'!E4+'[2]2025.6.9-6.13'!E4+'[2]2025.6.16-6.20'!E4+'[2]2025.6.23-6.27'!E4+'[2]2025.6.3-6.6'!E15+'[2]2025.6.9-6.13'!E15+'[2]2025.6.16-6.20'!E15+'[2]2025.6.23-6.27'!E15</f>
        <v>1360</v>
      </c>
      <c r="F3" s="3">
        <f>'[2]2025.6.3-6.6'!F3+'[2]2025.6.9-6.13'!F3+'[2]2025.6.16-6.20'!F3+'[2]2025.6.23-6.27'!F3+'[2]2025.6.3-6.6'!F4+'[2]2025.6.9-6.13'!F4+'[2]2025.6.16-6.20'!F4+'[2]2025.6.23-6.27'!F4+'[2]2025.6.3-6.6'!F15+'[2]2025.6.9-6.13'!F15+'[2]2025.6.16-6.20'!F15+'[2]2025.6.23-6.27'!F15</f>
        <v>48</v>
      </c>
    </row>
    <row r="4" spans="1:6" ht="24.6" customHeight="1" x14ac:dyDescent="0.25">
      <c r="A4" s="3">
        <v>2</v>
      </c>
      <c r="B4" s="3" t="s">
        <v>27</v>
      </c>
      <c r="C4" s="3">
        <f>'[2]2025.6.3-6.6'!C5+'[2]2025.6.9-6.13'!C5+'[2]2025.6.16-6.20'!C5+'[2]2025.6.23-6.27'!C5+'[2]2025.6.3-6.6'!C17+'[2]2025.6.9-6.13'!C17+'[2]2025.6.16-6.20'!C17+'[2]2025.6.23-6.27'!C17+'[2]2025.6.3-6.6'!C18+'[2]2025.6.9-6.13'!C18+'[2]2025.6.16-6.20'!C18+'[2]2025.6.23-6.27'!C18+'[2]2025.6.3-6.6'!C19+'[2]2025.6.9-6.13'!C19+'[2]2025.6.16-6.20'!C19+'[2]2025.6.23-6.27'!C19</f>
        <v>1639</v>
      </c>
      <c r="D4" s="3">
        <f>'[2]2025.6.3-6.6'!D5+'[2]2025.6.9-6.13'!D5+'[2]2025.6.16-6.20'!D5+'[2]2025.6.23-6.27'!D5+'[2]2025.6.3-6.6'!D17+'[2]2025.6.9-6.13'!D17+'[2]2025.6.16-6.20'!D17+'[2]2025.6.23-6.27'!D17+'[2]2025.6.3-6.6'!D18+'[2]2025.6.9-6.13'!D18+'[2]2025.6.16-6.20'!D18+'[2]2025.6.23-6.27'!D18+'[2]2025.6.3-6.6'!D19+'[2]2025.6.9-6.13'!D19+'[2]2025.6.16-6.20'!D19+'[2]2025.6.23-6.27'!D19</f>
        <v>447</v>
      </c>
      <c r="E4" s="3">
        <f>'[2]2025.6.3-6.6'!E5+'[2]2025.6.9-6.13'!E5+'[2]2025.6.16-6.20'!E5+'[2]2025.6.23-6.27'!E5+'[2]2025.6.3-6.6'!E17+'[2]2025.6.9-6.13'!E17+'[2]2025.6.16-6.20'!E17+'[2]2025.6.23-6.27'!E17+'[2]2025.6.3-6.6'!E18+'[2]2025.6.9-6.13'!E18+'[2]2025.6.16-6.20'!E18+'[2]2025.6.23-6.27'!E18+'[2]2025.6.3-6.6'!E19+'[2]2025.6.9-6.13'!E19+'[2]2025.6.16-6.20'!E19+'[2]2025.6.23-6.27'!E19</f>
        <v>314</v>
      </c>
      <c r="F4" s="3">
        <f>'[2]2025.6.3-6.6'!F5+'[2]2025.6.9-6.13'!F5+'[2]2025.6.16-6.20'!F5+'[2]2025.6.23-6.27'!F5+'[2]2025.6.3-6.6'!F17+'[2]2025.6.9-6.13'!F17+'[2]2025.6.16-6.20'!F17+'[2]2025.6.23-6.27'!F17+'[2]2025.6.3-6.6'!F18+'[2]2025.6.9-6.13'!F18+'[2]2025.6.16-6.20'!F18+'[2]2025.6.23-6.27'!F18+'[2]2025.6.3-6.6'!F19+'[2]2025.6.9-6.13'!F19+'[2]2025.6.16-6.20'!F19+'[2]2025.6.23-6.27'!F19</f>
        <v>68</v>
      </c>
    </row>
    <row r="5" spans="1:6" ht="24.6" customHeight="1" x14ac:dyDescent="0.25">
      <c r="A5" s="3">
        <v>3</v>
      </c>
      <c r="B5" s="3" t="s">
        <v>28</v>
      </c>
      <c r="C5" s="3">
        <f>'[2]2025.6.3-6.6'!C6+'[2]2025.6.3-6.6'!C16+'[2]2025.6.9-6.13'!C6+'[2]2025.6.9-6.13'!C16+'[2]2025.6.16-6.20'!C6+'[2]2025.6.16-6.20'!C16+'[2]2025.6.23-6.27'!C6+'[2]2025.6.23-6.27'!C16</f>
        <v>1707</v>
      </c>
      <c r="D5" s="3">
        <f>'[2]2025.6.3-6.6'!D6+'[2]2025.6.3-6.6'!D16+'[2]2025.6.9-6.13'!D6+'[2]2025.6.9-6.13'!D16+'[2]2025.6.16-6.20'!D6+'[2]2025.6.16-6.20'!D16+'[2]2025.6.23-6.27'!D6+'[2]2025.6.23-6.27'!D16</f>
        <v>1390</v>
      </c>
      <c r="E5" s="3">
        <f>'[2]2025.6.3-6.6'!E6+'[2]2025.6.3-6.6'!E16+'[2]2025.6.9-6.13'!E6+'[2]2025.6.9-6.13'!E16+'[2]2025.6.16-6.20'!E6+'[2]2025.6.16-6.20'!E16+'[2]2025.6.23-6.27'!E6+'[2]2025.6.23-6.27'!E16</f>
        <v>78</v>
      </c>
      <c r="F5" s="3">
        <f>'[2]2025.6.3-6.6'!F6+'[2]2025.6.3-6.6'!F16+'[2]2025.6.9-6.13'!F6+'[2]2025.6.9-6.13'!F16+'[2]2025.6.16-6.20'!F6+'[2]2025.6.16-6.20'!F16+'[2]2025.6.23-6.27'!F6+'[2]2025.6.23-6.27'!F16</f>
        <v>20</v>
      </c>
    </row>
    <row r="6" spans="1:6" ht="24.6" customHeight="1" x14ac:dyDescent="0.25">
      <c r="A6" s="3">
        <v>4</v>
      </c>
      <c r="B6" s="3" t="s">
        <v>29</v>
      </c>
      <c r="C6" s="3">
        <f>'[2]2025.6.3-6.6'!C7+'[2]2025.6.9-6.13'!C7+'[2]2025.6.16-6.20'!C7+'[2]2025.6.23-6.27'!C7</f>
        <v>1922</v>
      </c>
      <c r="D6" s="3">
        <f>'[2]2025.6.3-6.6'!D7+'[2]2025.6.9-6.13'!D7+'[2]2025.6.16-6.20'!D7+'[2]2025.6.23-6.27'!D7</f>
        <v>2365</v>
      </c>
      <c r="E6" s="3">
        <f>'[2]2025.6.3-6.6'!E7+'[2]2025.6.9-6.13'!E7+'[2]2025.6.16-6.20'!E7+'[2]2025.6.23-6.27'!E7</f>
        <v>523</v>
      </c>
      <c r="F6" s="3">
        <f>'[2]2025.6.3-6.6'!F7+'[2]2025.6.9-6.13'!F7+'[2]2025.6.16-6.20'!F7+'[2]2025.6.23-6.27'!F7</f>
        <v>0</v>
      </c>
    </row>
    <row r="7" spans="1:6" ht="24.6" customHeight="1" x14ac:dyDescent="0.25">
      <c r="A7" s="3">
        <v>5</v>
      </c>
      <c r="B7" s="3" t="s">
        <v>30</v>
      </c>
      <c r="C7" s="3">
        <f>'[2]2025.6.3-6.6'!C8+'[2]2025.6.9-6.13'!C8+'[2]2025.6.16-6.20'!C8+'[2]2025.6.23-6.27'!C8+'[2]2025.6.3-6.6'!C9+'[2]2025.6.9-6.13'!C9+'[2]2025.6.16-6.20'!C9+'[2]2025.6.23-6.27'!C9</f>
        <v>15196</v>
      </c>
      <c r="D7" s="3">
        <f>'[2]2025.6.3-6.6'!D8+'[2]2025.6.9-6.13'!D8+'[2]2025.6.16-6.20'!D8+'[2]2025.6.23-6.27'!D8+'[2]2025.6.3-6.6'!D9+'[2]2025.6.9-6.13'!D9+'[2]2025.6.16-6.20'!D9+'[2]2025.6.23-6.27'!D9</f>
        <v>5597</v>
      </c>
      <c r="E7" s="3">
        <f>'[2]2025.6.3-6.6'!E8+'[2]2025.6.9-6.13'!E8+'[2]2025.6.16-6.20'!E8+'[2]2025.6.23-6.27'!E8+'[2]2025.6.3-6.6'!E9+'[2]2025.6.9-6.13'!E9+'[2]2025.6.16-6.20'!E9+'[2]2025.6.23-6.27'!E9</f>
        <v>2681</v>
      </c>
      <c r="F7" s="3">
        <f>'[2]2025.6.3-6.6'!F8+'[2]2025.6.9-6.13'!F8+'[2]2025.6.16-6.20'!F8+'[2]2025.6.23-6.27'!F8+'[2]2025.6.3-6.6'!F9+'[2]2025.6.9-6.13'!F9+'[2]2025.6.16-6.20'!F9+'[2]2025.6.23-6.27'!F9</f>
        <v>3295</v>
      </c>
    </row>
    <row r="8" spans="1:6" ht="24.6" customHeight="1" x14ac:dyDescent="0.25">
      <c r="A8" s="3">
        <v>6</v>
      </c>
      <c r="B8" s="3" t="s">
        <v>31</v>
      </c>
      <c r="C8" s="3">
        <f>'[2]2025.6.3-6.6'!C10+'[2]2025.6.9-6.13'!C10+'[2]2025.6.16-6.20'!C10+'[2]2025.6.23-6.27'!C10</f>
        <v>1996</v>
      </c>
      <c r="D8" s="3">
        <f>'[2]2025.6.3-6.6'!D10+'[2]2025.6.9-6.13'!D10+'[2]2025.6.16-6.20'!D10+'[2]2025.6.23-6.27'!D10</f>
        <v>1389</v>
      </c>
      <c r="E8" s="3">
        <f>'[2]2025.6.3-6.6'!E10+'[2]2025.6.9-6.13'!E10+'[2]2025.6.16-6.20'!E10+'[2]2025.6.23-6.27'!E10</f>
        <v>444</v>
      </c>
      <c r="F8" s="3">
        <f>'[2]2025.6.3-6.6'!F10+'[2]2025.6.9-6.13'!F10+'[2]2025.6.16-6.20'!F10+'[2]2025.6.23-6.27'!F10</f>
        <v>0</v>
      </c>
    </row>
    <row r="9" spans="1:6" ht="24.6" customHeight="1" x14ac:dyDescent="0.25">
      <c r="A9" s="3">
        <v>7</v>
      </c>
      <c r="B9" s="3" t="s">
        <v>66</v>
      </c>
      <c r="C9" s="3">
        <f>'[2]2025.6.3-6.6'!C11+'[2]2025.6.3-6.6'!C12+'[2]2025.6.3-6.6'!C13+'[2]2025.6.3-6.6'!C14+'[2]2025.6.9-6.13'!C11+'[2]2025.6.9-6.13'!C12+'[2]2025.6.9-6.13'!C13+'[2]2025.6.9-6.13'!C14+'[2]2025.6.16-6.20'!C11+'[2]2025.6.16-6.20'!C12+'[2]2025.6.16-6.20'!C13+'[2]2025.6.16-6.20'!C14+'[2]2025.6.23-6.27'!C11+'[2]2025.6.23-6.27'!C12+'[2]2025.6.23-6.27'!C13+'[2]2025.6.23-6.27'!C14</f>
        <v>3361</v>
      </c>
      <c r="D9" s="3">
        <f>'[2]2025.6.3-6.6'!D11+'[2]2025.6.3-6.6'!D12+'[2]2025.6.3-6.6'!D13+'[2]2025.6.3-6.6'!D14+'[2]2025.6.9-6.13'!D11+'[2]2025.6.9-6.13'!D12+'[2]2025.6.9-6.13'!D13+'[2]2025.6.9-6.13'!D14+'[2]2025.6.16-6.20'!D11+'[2]2025.6.16-6.20'!D12+'[2]2025.6.16-6.20'!D13+'[2]2025.6.16-6.20'!D14+'[2]2025.6.23-6.27'!D11+'[2]2025.6.23-6.27'!D12+'[2]2025.6.23-6.27'!D13+'[2]2025.6.23-6.27'!D14</f>
        <v>36</v>
      </c>
      <c r="E9" s="3">
        <f>'[2]2025.6.3-6.6'!E11+'[2]2025.6.3-6.6'!E12+'[2]2025.6.3-6.6'!E13+'[2]2025.6.3-6.6'!E14+'[2]2025.6.9-6.13'!E11+'[2]2025.6.9-6.13'!E12+'[2]2025.6.9-6.13'!E13+'[2]2025.6.9-6.13'!E14+'[2]2025.6.16-6.20'!E11+'[2]2025.6.16-6.20'!E12+'[2]2025.6.16-6.20'!E13+'[2]2025.6.16-6.20'!E14+'[2]2025.6.23-6.27'!E11+'[2]2025.6.23-6.27'!E12+'[2]2025.6.23-6.27'!E13+'[2]2025.6.23-6.27'!E14</f>
        <v>611</v>
      </c>
      <c r="F9" s="3">
        <f>'[2]2025.6.3-6.6'!F11+'[2]2025.6.3-6.6'!F12+'[2]2025.6.3-6.6'!F13+'[2]2025.6.3-6.6'!F14+'[2]2025.6.9-6.13'!F11+'[2]2025.6.9-6.13'!F12+'[2]2025.6.9-6.13'!F13+'[2]2025.6.9-6.13'!F14+'[2]2025.6.16-6.20'!F11+'[2]2025.6.16-6.20'!F12+'[2]2025.6.16-6.20'!F13+'[2]2025.6.16-6.20'!F14+'[2]2025.6.23-6.27'!F11+'[2]2025.6.23-6.27'!F12+'[2]2025.6.23-6.27'!F13+'[2]2025.6.23-6.27'!F14</f>
        <v>752</v>
      </c>
    </row>
    <row r="10" spans="1:6" ht="24.6" customHeight="1" x14ac:dyDescent="0.25">
      <c r="A10" s="42" t="s">
        <v>32</v>
      </c>
      <c r="B10" s="43"/>
      <c r="C10" s="3">
        <f t="shared" ref="C10:F10" si="0">SUM(C3:C9)</f>
        <v>30899</v>
      </c>
      <c r="D10" s="3">
        <f t="shared" si="0"/>
        <v>22014</v>
      </c>
      <c r="E10" s="3">
        <f t="shared" si="0"/>
        <v>6011</v>
      </c>
      <c r="F10" s="3">
        <f t="shared" si="0"/>
        <v>4183</v>
      </c>
    </row>
    <row r="11" spans="1:6" ht="46.8" x14ac:dyDescent="0.25">
      <c r="A11" s="5" t="s">
        <v>23</v>
      </c>
      <c r="B11" s="5" t="s">
        <v>23</v>
      </c>
      <c r="C11" s="5" t="s">
        <v>33</v>
      </c>
      <c r="D11" s="5" t="s">
        <v>23</v>
      </c>
      <c r="E11" s="5" t="s">
        <v>23</v>
      </c>
      <c r="F11" s="5" t="s">
        <v>23</v>
      </c>
    </row>
  </sheetData>
  <mergeCells count="2">
    <mergeCell ref="A1:F1"/>
    <mergeCell ref="A10:B10"/>
  </mergeCells>
  <phoneticPr fontId="11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33</vt:i4>
      </vt:variant>
    </vt:vector>
  </HeadingPairs>
  <TitlesOfParts>
    <vt:vector size="33" baseType="lpstr">
      <vt:lpstr>2022年09月-2023年汇总</vt:lpstr>
      <vt:lpstr>2024汇总</vt:lpstr>
      <vt:lpstr>2025汇总</vt:lpstr>
      <vt:lpstr>1月</vt:lpstr>
      <vt:lpstr>2月 </vt:lpstr>
      <vt:lpstr>3.1-3.20</vt:lpstr>
      <vt:lpstr>3.20-4.20</vt:lpstr>
      <vt:lpstr>4.20-5.20</vt:lpstr>
      <vt:lpstr>5.20-6.20</vt:lpstr>
      <vt:lpstr>6.20-7.20</vt:lpstr>
      <vt:lpstr>7.20-8.20</vt:lpstr>
      <vt:lpstr>8.20-9.20</vt:lpstr>
      <vt:lpstr>9.20-10.20</vt:lpstr>
      <vt:lpstr>10.20-11.20</vt:lpstr>
      <vt:lpstr>11.20-12.20</vt:lpstr>
      <vt:lpstr>2024.12.20-1.20</vt:lpstr>
      <vt:lpstr>2024.1.20-2.20</vt:lpstr>
      <vt:lpstr>2024.2.20-3.20</vt:lpstr>
      <vt:lpstr>2024.3.20-4.20</vt:lpstr>
      <vt:lpstr>2024.4.20-5.20</vt:lpstr>
      <vt:lpstr>2024.6.3-6.28</vt:lpstr>
      <vt:lpstr>2024.7.1-7.31</vt:lpstr>
      <vt:lpstr>2024.8.1-8.30</vt:lpstr>
      <vt:lpstr>2024.9.1-9.30</vt:lpstr>
      <vt:lpstr>2024.10.1-10.31</vt:lpstr>
      <vt:lpstr>2024.11.1-11.29</vt:lpstr>
      <vt:lpstr>2024.12.1-12.31</vt:lpstr>
      <vt:lpstr>2025.1.1-2025.1.27</vt:lpstr>
      <vt:lpstr>2025.2.5-2.28</vt:lpstr>
      <vt:lpstr>2025.3.3-3.31</vt:lpstr>
      <vt:lpstr>2025.4.1-4.30</vt:lpstr>
      <vt:lpstr>2025.5.1-5.31</vt:lpstr>
      <vt:lpstr>2025.6.3-6.27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12523</dc:creator>
  <cp:lastModifiedBy>c25965</cp:lastModifiedBy>
  <dcterms:created xsi:type="dcterms:W3CDTF">2021-04-26T02:10:00Z</dcterms:created>
  <dcterms:modified xsi:type="dcterms:W3CDTF">2025-07-10T09:25:54Z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7727AAE532C74DD9AAED7FA65424AAF3_13</vt:lpwstr>
  </property>
  <property fmtid="{D5CDD505-2E9C-101B-9397-08002B2CF9AE}" pid="3" name="KSOProductBuildVer">
    <vt:lpwstr>2052-12.8.2.17149</vt:lpwstr>
  </property>
</Properties>
</file>